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71" activeTab="0"/>
  </bookViews>
  <sheets>
    <sheet name="Свод" sheetId="1" r:id="rId1"/>
    <sheet name="См№1 ПР" sheetId="2" r:id="rId2"/>
    <sheet name="См№2 Геодез" sheetId="3" r:id="rId3"/>
    <sheet name="См№3 Геолог" sheetId="4" r:id="rId4"/>
    <sheet name="См№4 Экология" sheetId="5" r:id="rId5"/>
    <sheet name="См№5 Обслед" sheetId="6" r:id="rId6"/>
    <sheet name="Экспертиза" sheetId="7" r:id="rId7"/>
  </sheets>
  <definedNames>
    <definedName name="_xlnm.Print_Area" localSheetId="0">'Свод'!$A$1:$F$25</definedName>
    <definedName name="_xlnm.Print_Area" localSheetId="1">'См№1 ПР'!$A$1:$V$31</definedName>
    <definedName name="_xlnm.Print_Area" localSheetId="2">'См№2 Геодез'!$A$1:$N$42</definedName>
    <definedName name="_xlnm.Print_Area" localSheetId="3">'См№3 Геолог'!$A$1:$N$58</definedName>
    <definedName name="_xlnm.Print_Area" localSheetId="4">'См№4 Экология'!$A$1:$M$66</definedName>
    <definedName name="_xlnm.Print_Area" localSheetId="5">'См№5 Обслед'!$A$1:$M$55</definedName>
    <definedName name="_xlnm.Print_Area" localSheetId="6">'Экспертиза'!$A$1:$C$37</definedName>
  </definedNames>
  <calcPr fullCalcOnLoad="1" fullPrecision="0"/>
</workbook>
</file>

<file path=xl/sharedStrings.xml><?xml version="1.0" encoding="utf-8"?>
<sst xmlns="http://schemas.openxmlformats.org/spreadsheetml/2006/main" count="445" uniqueCount="293">
  <si>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</si>
  <si>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</si>
  <si>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</si>
  <si>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</si>
  <si>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</si>
  <si>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</si>
  <si>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</si>
  <si>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</si>
  <si>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</si>
  <si>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Смета № 2</t>
  </si>
  <si>
    <t>Итого</t>
  </si>
  <si>
    <t>*</t>
  </si>
  <si>
    <t>4</t>
  </si>
  <si>
    <t>Стоимость,                  тыс. руб</t>
  </si>
  <si>
    <t>НДС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</si>
  <si>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</si>
  <si>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</si>
  <si>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Разработка проектно-сметной документации</t>
  </si>
  <si>
    <t>5</t>
  </si>
  <si>
    <t>Договорной коэффициент</t>
  </si>
  <si>
    <t>Полевые работы</t>
  </si>
  <si>
    <t>Камеральные работы</t>
  </si>
  <si>
    <t>Смета № 3</t>
  </si>
  <si>
    <t>Исходные данные:</t>
  </si>
  <si>
    <t>ИТОГО с учетом договорного коэффициента К=</t>
  </si>
  <si>
    <t>Смета № 4</t>
  </si>
  <si>
    <t>на инженерно-экологические работы</t>
  </si>
  <si>
    <t>№ п/п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</si>
  <si>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</si>
  <si>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</si>
  <si>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Стоимость, руб.</t>
  </si>
  <si>
    <t>К - итоговый (таб. 3 Общ.указ.)</t>
  </si>
  <si>
    <t>полевые работы</t>
  </si>
  <si>
    <t>камеральные работы</t>
  </si>
  <si>
    <t>Таблица 11, §2</t>
  </si>
  <si>
    <t>в том числе полевых работ:</t>
  </si>
  <si>
    <t>камеральных работ:</t>
  </si>
  <si>
    <t>Отбор проб на загрязненность по хим. показателям:</t>
  </si>
  <si>
    <t>Таблица 60</t>
  </si>
  <si>
    <t>Отбор проб для бактериологического анализа:</t>
  </si>
  <si>
    <t xml:space="preserve"> - почвогрунтов, 1проба</t>
  </si>
  <si>
    <t>Расходы на внутрений транспорт</t>
  </si>
  <si>
    <t>Организация и ликвидация работ</t>
  </si>
  <si>
    <t>НДС 18 %</t>
  </si>
  <si>
    <t>Таблица 92, §3</t>
  </si>
  <si>
    <t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1:2000-1:1000:</t>
  </si>
  <si>
    <t>§10</t>
  </si>
  <si>
    <t>Таблица 70, §85</t>
  </si>
  <si>
    <t>Таблица 70, §60</t>
  </si>
  <si>
    <t>Таблица 70, §63</t>
  </si>
  <si>
    <t>Лабораторные работы</t>
  </si>
  <si>
    <t xml:space="preserve">I. </t>
  </si>
  <si>
    <t xml:space="preserve">Итого Лабораторные работы </t>
  </si>
  <si>
    <t>Составление технического отчета о результатах выполненных работ, кат.сложности - 1</t>
  </si>
  <si>
    <t>Таблица 87, п.1</t>
  </si>
  <si>
    <t>ИТОГО инженерно-экологических работ</t>
  </si>
  <si>
    <t>Инженерно-экологические изыскания</t>
  </si>
  <si>
    <t xml:space="preserve"> - почвогрунтов почво-грунтов (методами конверта, по диагонали и т.п.), 1 проб</t>
  </si>
  <si>
    <t>(</t>
  </si>
  <si>
    <t>+</t>
  </si>
  <si>
    <t>)*</t>
  </si>
  <si>
    <t>Табл. 9, §5</t>
  </si>
  <si>
    <t>Справочник базовых цен на инженерно-геологические и инженерно-экологические изыскания для строительства                               СБЦ103-(1999)</t>
  </si>
  <si>
    <t>Таблица 4, §1</t>
  </si>
  <si>
    <t>Табл. 10, §4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</si>
  <si>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</t>
    </r>
    <r>
      <rPr>
        <i/>
        <sz val="10"/>
        <rFont val="Times New Roman"/>
        <family val="1"/>
      </rPr>
      <t>Измеритель - 1 образец</t>
    </r>
  </si>
  <si>
    <r>
      <t xml:space="preserve">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</rPr>
      <t>Измеритель - 1 образец</t>
    </r>
  </si>
  <si>
    <r>
      <t xml:space="preserve">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</rPr>
      <t>Измеритель - 1 образец</t>
    </r>
  </si>
  <si>
    <t>Ксл</t>
  </si>
  <si>
    <r>
      <t xml:space="preserve">Описание точек наблюдения при составлении инженерно-экологических карт, категория сложности - 2,                        </t>
    </r>
    <r>
      <rPr>
        <i/>
        <sz val="10"/>
        <rFont val="Times New Roman"/>
        <family val="1"/>
      </rPr>
      <t>кол-во точек наблюдения - 1</t>
    </r>
  </si>
  <si>
    <r>
      <t xml:space="preserve">Примечание - </t>
    </r>
    <r>
      <rPr>
        <i/>
        <sz val="10"/>
        <rFont val="Times New Roman"/>
        <family val="1"/>
      </rPr>
      <t xml:space="preserve"> для изысканий со сметной стоимостью до 2 тыс. руб.</t>
    </r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</si>
  <si>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</rPr>
      <t>Единица измерения, 0,1га</t>
    </r>
  </si>
  <si>
    <t xml:space="preserve">ОУ п.13 </t>
  </si>
  <si>
    <t>6</t>
  </si>
  <si>
    <t>Проектная документация</t>
  </si>
  <si>
    <t>40</t>
  </si>
  <si>
    <t>0,4</t>
  </si>
  <si>
    <t>Рабочаяая документация</t>
  </si>
  <si>
    <t>60</t>
  </si>
  <si>
    <t>0,6</t>
  </si>
  <si>
    <t xml:space="preserve">Итого, рублей </t>
  </si>
  <si>
    <t>а,тыс.руб.</t>
  </si>
  <si>
    <t xml:space="preserve">Итого, тыс.руб. </t>
  </si>
  <si>
    <t>7</t>
  </si>
  <si>
    <t xml:space="preserve">б,тыс.руб. </t>
  </si>
  <si>
    <t>х, Гкал/ч</t>
  </si>
  <si>
    <t>К1 (РК)</t>
  </si>
  <si>
    <t>8</t>
  </si>
  <si>
    <t>9</t>
  </si>
  <si>
    <t>Письмо Минстроя РФ  №25760-ЮР/08 от 13.08.2015г., 3 кв. 2015г</t>
  </si>
  <si>
    <t>Стоимость работ с учетом районного коэффициента и коэффициента индекса цен</t>
  </si>
  <si>
    <t xml:space="preserve"> </t>
  </si>
  <si>
    <r>
      <t xml:space="preserve">Рекогносцировочное почвенное обследование при проходимости удовлетворительной:                    </t>
    </r>
    <r>
      <rPr>
        <i/>
        <sz val="10"/>
        <rFont val="Times New Roman"/>
        <family val="1"/>
      </rPr>
      <t>протяженность -  0,9км</t>
    </r>
  </si>
  <si>
    <t xml:space="preserve">  Итого в текущих ценах 4кв.2015 г. с договорным коэффициентом и НДС </t>
  </si>
  <si>
    <t xml:space="preserve"> Итого в текущих ценах 4кв.2015 г. с договорным коэффициентом и НДС </t>
  </si>
  <si>
    <t>К - индексации 4кв.2015</t>
  </si>
  <si>
    <t>К3инф.индекс (Письмо Минстроя РФ  №40538-ЕС/05 от 15.12.2015г.)</t>
  </si>
  <si>
    <t>Смета №2</t>
  </si>
  <si>
    <t>на выполнение инженерно-геодезических изысканий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</si>
  <si>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</si>
  <si>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</si>
  <si>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</si>
  <si>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</si>
  <si>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</si>
  <si>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</si>
  <si>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</si>
  <si>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</si>
  <si>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</si>
  <si>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 xml:space="preserve">СУБЦ –2001
табл.9 § 5                                         прим.4 использ. трассопоискового оборудования                                             </t>
  </si>
  <si>
    <t>х</t>
  </si>
  <si>
    <t>Категория сложности - II</t>
  </si>
  <si>
    <t>К исп. Трассопоискового оборудования</t>
  </si>
  <si>
    <t>п.15а ОУ к=</t>
  </si>
  <si>
    <t>п.15д ОУ к=</t>
  </si>
  <si>
    <t>Всего:</t>
  </si>
  <si>
    <t>полевые</t>
  </si>
  <si>
    <t>камеральные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</si>
  <si>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</si>
  <si>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</si>
  <si>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 xml:space="preserve">% </t>
  </si>
  <si>
    <t>от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</si>
  <si>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</si>
  <si>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</si>
  <si>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</si>
  <si>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 xml:space="preserve"> Письмо Минстроя России от 15.12.2015 N 40538-ЕС/05</t>
  </si>
  <si>
    <t>Итого по смете:</t>
  </si>
  <si>
    <t>НДС 18%</t>
  </si>
  <si>
    <t>Итого по смете с НДС:</t>
  </si>
  <si>
    <t>Обоснование</t>
  </si>
  <si>
    <t>Общая цена</t>
  </si>
  <si>
    <t>1991 г.</t>
  </si>
  <si>
    <t>4кв.2015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</si>
  <si>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</si>
  <si>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</si>
  <si>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</si>
  <si>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</si>
  <si>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</si>
  <si>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</si>
  <si>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</si>
  <si>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</si>
  <si>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</si>
  <si>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</si>
  <si>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</si>
  <si>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</si>
  <si>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</si>
  <si>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Колонковое бурение диаметром до 160 мм глубиной до 15м: порода II категории.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</si>
  <si>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</si>
  <si>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</si>
  <si>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</si>
  <si>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</si>
  <si>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</si>
  <si>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</si>
  <si>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</si>
  <si>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</si>
  <si>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</si>
  <si>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</si>
  <si>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</si>
  <si>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</si>
  <si>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</si>
  <si>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</si>
  <si>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</si>
  <si>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</si>
  <si>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</si>
  <si>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</si>
  <si>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</si>
  <si>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Сбор изучение и систематизация материалов изысканий прошлых лет, 100м.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</si>
  <si>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</si>
  <si>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</si>
  <si>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</si>
  <si>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</si>
  <si>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</si>
  <si>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</si>
  <si>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</si>
  <si>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</si>
  <si>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</si>
  <si>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</si>
  <si>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</si>
  <si>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</si>
  <si>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</si>
  <si>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</si>
  <si>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Стоимость работ инженерно-геологических изысканий с НДС</t>
  </si>
  <si>
    <t>Спр</t>
  </si>
  <si>
    <t>Стоимость изготовления  проектной документации по договору (без НДС),
рублей</t>
  </si>
  <si>
    <t>4 кв.2015 г.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</si>
  <si>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</si>
  <si>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</si>
  <si>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</si>
  <si>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</si>
  <si>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</si>
  <si>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</si>
  <si>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</si>
  <si>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</si>
  <si>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</si>
  <si>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</si>
  <si>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</si>
  <si>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</si>
  <si>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</si>
  <si>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</si>
  <si>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</si>
  <si>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</si>
  <si>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</si>
  <si>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</si>
  <si>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</si>
  <si>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</si>
  <si>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</si>
  <si>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</si>
  <si>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</si>
  <si>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</si>
  <si>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</si>
  <si>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</si>
  <si>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НДС,       рублей</t>
  </si>
  <si>
    <t>Стоимость работ с НДС,             рублей</t>
  </si>
  <si>
    <t>Инженерно-геодезические изыскания</t>
  </si>
  <si>
    <t>Экспертиза проектной документации</t>
  </si>
  <si>
    <t>Расчет</t>
  </si>
  <si>
    <t>Итого в текущих ценах 4кв.2015г с Договорным коэффициентом и НДС</t>
  </si>
  <si>
    <t>Создание инженерно-топографического плана масштаба 1:500 с сечением рельефа  через 0.5 м  на застроенной территории</t>
  </si>
  <si>
    <t>площадь участка,га</t>
  </si>
  <si>
    <t xml:space="preserve">Стоимость,   руб </t>
  </si>
  <si>
    <t>Категория сложности здания</t>
  </si>
  <si>
    <t>Категория сложности работ</t>
  </si>
  <si>
    <t>Объем исследуемого здания (ссоружений),м3</t>
  </si>
  <si>
    <t>Доля выполняемого обследования от полного объёма работ, % (В)</t>
  </si>
  <si>
    <t>1. Обследование</t>
  </si>
  <si>
    <t>Базовая цена работ</t>
  </si>
  <si>
    <t>Таблица 8</t>
  </si>
  <si>
    <r>
      <t>k</t>
    </r>
    <r>
      <rPr>
        <vertAlign val="subscript"/>
        <sz val="10"/>
        <rFont val="Times New Roman"/>
        <family val="1"/>
      </rPr>
      <t xml:space="preserve">2 </t>
    </r>
  </si>
  <si>
    <t xml:space="preserve"> - Обследование без прекращения производства т.3</t>
  </si>
  <si>
    <r>
      <t>k</t>
    </r>
    <r>
      <rPr>
        <vertAlign val="subscript"/>
        <sz val="10"/>
        <rFont val="Times New Roman"/>
        <family val="1"/>
      </rPr>
      <t xml:space="preserve">20 </t>
    </r>
    <r>
      <rPr>
        <sz val="10"/>
        <rFont val="Times New Roman"/>
        <family val="1"/>
      </rPr>
      <t xml:space="preserve"> </t>
    </r>
  </si>
  <si>
    <t xml:space="preserve"> - Инструментально-приборное обследование и диагностика таб.3</t>
  </si>
  <si>
    <r>
      <t>k</t>
    </r>
    <r>
      <rPr>
        <vertAlign val="subscript"/>
        <sz val="10"/>
        <rFont val="Times New Roman"/>
        <family val="1"/>
      </rPr>
      <t>у</t>
    </r>
  </si>
  <si>
    <t>Коэффициент усложняющих факторов при выполнении работ ( п. 2.5)</t>
  </si>
  <si>
    <r>
      <t>k</t>
    </r>
    <r>
      <rPr>
        <vertAlign val="subscript"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</t>
    </r>
  </si>
  <si>
    <t xml:space="preserve"> - Коэффициент, учитывающий малые строительный объем (табл.4)</t>
  </si>
  <si>
    <r>
      <t>k</t>
    </r>
    <r>
      <rPr>
        <vertAlign val="subscript"/>
        <sz val="10"/>
        <rFont val="Times New Roman"/>
        <family val="1"/>
      </rPr>
      <t>д</t>
    </r>
    <r>
      <rPr>
        <sz val="10"/>
        <rFont val="Times New Roman"/>
        <family val="1"/>
      </rPr>
      <t xml:space="preserve"> </t>
    </r>
  </si>
  <si>
    <t>Коэффициент, учитывающий отсутствие технической  документации (табл. 5)</t>
  </si>
  <si>
    <r>
      <t>k</t>
    </r>
    <r>
      <rPr>
        <i/>
        <vertAlign val="subscript"/>
        <sz val="10"/>
        <rFont val="Times New Roman"/>
        <family val="1"/>
      </rPr>
      <t>п</t>
    </r>
  </si>
  <si>
    <t xml:space="preserve"> - Коэффициент перехода от цен для работ по промзданиям к ценам работ по сооружениям (п.2.8)</t>
  </si>
  <si>
    <t xml:space="preserve">  Районный коэффициент </t>
  </si>
  <si>
    <t>ИТОГО по обследованию:</t>
  </si>
  <si>
    <t xml:space="preserve"> 2.Оценка технического состояния</t>
  </si>
  <si>
    <t>Таблица 11</t>
  </si>
  <si>
    <t>ИТОГО по оценке технического состояния</t>
  </si>
  <si>
    <t>ИТОГО по п.п.1, 2</t>
  </si>
  <si>
    <t>3. Стоимость преддоговорных работ</t>
  </si>
  <si>
    <r>
      <t>k</t>
    </r>
    <r>
      <rPr>
        <i/>
        <vertAlign val="subscript"/>
        <sz val="10"/>
        <rFont val="Times New Roman"/>
        <family val="1"/>
      </rPr>
      <t>пд</t>
    </r>
  </si>
  <si>
    <t xml:space="preserve">           п. 2.12                                             </t>
  </si>
  <si>
    <t>ИТОГО :</t>
  </si>
  <si>
    <t xml:space="preserve"> НДС</t>
  </si>
  <si>
    <t>ВСЕГО стоимость в текущих ценах с НДС</t>
  </si>
  <si>
    <t>количество зданий</t>
  </si>
  <si>
    <t xml:space="preserve">Письмо Минстроя РФ  №40538-ЕС/05 от 15.12.2015г. </t>
  </si>
  <si>
    <r>
      <t xml:space="preserve">Коэффициент индексации на 4 кв 2015 г.       </t>
    </r>
    <r>
      <rPr>
        <i/>
        <sz val="10"/>
        <rFont val="Times New Roman"/>
        <family val="1"/>
      </rPr>
      <t xml:space="preserve">                          </t>
    </r>
  </si>
  <si>
    <t>Письмо Минстроя РФ  №40538-ЕС/05 от 15.12.2015г.</t>
  </si>
  <si>
    <t>Обследование</t>
  </si>
  <si>
    <t xml:space="preserve">СБЦ НА ПРОЕКТНЫЕ РАБОТЫ ДЛЯ СТРОИТЕЛЬСТВА.  СБЦП07 Коммунальные инженерные сети и сооружения 2012 г. Таблица № 15 §2. Котельная, топливо – газ (мазут), суммарной теплопроизводительностью: от 10 до 50 Гкал/ч
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</si>
  <si>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</si>
  <si>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</si>
  <si>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</si>
  <si>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</si>
  <si>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</si>
  <si>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Наименование проектной организации:</t>
  </si>
  <si>
    <t>Наименование организации-заказчика: ОАО "АТЭК"</t>
  </si>
  <si>
    <t>Проверил</t>
  </si>
  <si>
    <t>Р.В. Шмыгов</t>
  </si>
  <si>
    <t>Смета №1</t>
  </si>
  <si>
    <t xml:space="preserve"> на проектные  работы</t>
  </si>
  <si>
    <t>Смета № 5</t>
  </si>
  <si>
    <t>Смета №5</t>
  </si>
  <si>
    <t>на выполнение обследования</t>
  </si>
  <si>
    <t xml:space="preserve">                                                              Р.В. Шмыгов</t>
  </si>
  <si>
    <t xml:space="preserve">                                                                                    УТВЕРЖДАЮ</t>
  </si>
  <si>
    <t xml:space="preserve">                                                                                    Директор по строительству</t>
  </si>
  <si>
    <t xml:space="preserve">                                                                                    ОАО "АТЭК"</t>
  </si>
  <si>
    <t xml:space="preserve">                                                                                   _________________________ Е.И. Исаев</t>
  </si>
  <si>
    <t xml:space="preserve">                                                                                    "_____" _____________________ 2016 г.</t>
  </si>
  <si>
    <t>Расчет стоимости проведения негосударственной экспертизы</t>
  </si>
  <si>
    <t xml:space="preserve">СУБЦ –2001
п.13 Общих указаний               </t>
  </si>
  <si>
    <t>Смета №3</t>
  </si>
  <si>
    <t>на инженерно-геологические изыскания</t>
  </si>
  <si>
    <r>
      <t xml:space="preserve">Глава 2, п.5 </t>
    </r>
    <r>
      <rPr>
        <i/>
        <sz val="10"/>
        <rFont val="Times New Roman"/>
        <family val="1"/>
      </rPr>
      <t>(наблюдение при составлении карт узких полос вдоль трасс линейных сооружений)</t>
    </r>
  </si>
  <si>
    <r>
      <t xml:space="preserve">§7
примечание 1 </t>
    </r>
    <r>
      <rPr>
        <i/>
        <sz val="10"/>
        <rFont val="Times New Roman"/>
        <family val="1"/>
      </rPr>
      <t>(отбор объединенной пробы)</t>
    </r>
  </si>
  <si>
    <r>
      <t>*kv*kу*kд*k</t>
    </r>
    <r>
      <rPr>
        <i/>
        <sz val="10"/>
        <rFont val="Times New Roman"/>
        <family val="1"/>
      </rPr>
      <t>п*</t>
    </r>
    <r>
      <rPr>
        <sz val="10"/>
        <rFont val="Times New Roman"/>
        <family val="1"/>
      </rPr>
      <t>k</t>
    </r>
    <r>
      <rPr>
        <i/>
        <sz val="10"/>
        <rFont val="Times New Roman"/>
        <family val="1"/>
      </rPr>
      <t>инд*</t>
    </r>
    <r>
      <rPr>
        <sz val="10"/>
        <rFont val="Times New Roman"/>
        <family val="1"/>
      </rPr>
      <t>k</t>
    </r>
    <r>
      <rPr>
        <i/>
        <sz val="10"/>
        <rFont val="Times New Roman"/>
        <family val="1"/>
      </rPr>
      <t>рк*V/100</t>
    </r>
  </si>
  <si>
    <r>
      <t>k</t>
    </r>
    <r>
      <rPr>
        <i/>
        <sz val="10"/>
        <rFont val="Times New Roman"/>
        <family val="1"/>
      </rPr>
      <t>инд</t>
    </r>
  </si>
  <si>
    <r>
      <t>k</t>
    </r>
    <r>
      <rPr>
        <i/>
        <sz val="10"/>
        <rFont val="Times New Roman"/>
        <family val="1"/>
      </rPr>
      <t>рк</t>
    </r>
  </si>
  <si>
    <r>
      <t>*k</t>
    </r>
    <r>
      <rPr>
        <i/>
        <sz val="10"/>
        <rFont val="Times New Roman"/>
        <family val="1"/>
      </rPr>
      <t>пд</t>
    </r>
  </si>
  <si>
    <t>Котельная 27,14 Гкал/ч</t>
  </si>
  <si>
    <t xml:space="preserve">Наименование объекта: «Техническое перевооружение котельной по ул. Люберская 13  в г. Краснодаре»                                                                        
</t>
  </si>
  <si>
    <t xml:space="preserve">Наименование объекта:  «Техническое перевооружение котельной по ул. Люберская 13  в г. Краснодаре»                                                     
</t>
  </si>
  <si>
    <t xml:space="preserve">Наименование объекта:  «Техническое перевооружение котельной по ул. Люберская 13  в г. Краснодаре»                                                                   
</t>
  </si>
  <si>
    <t xml:space="preserve">Наименование объекта:  «Техническое перевооружение котельной по ул. Люберская 13  в г. Краснодаре»    </t>
  </si>
  <si>
    <t xml:space="preserve">Наименование объекта:   «Техническое перевооружение котельной по ул. Люберская 13  в г. Краснодаре»    </t>
  </si>
  <si>
    <t>0,7148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</si>
</sst>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  <font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D60093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1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73" fontId="3" fillId="0" borderId="0" xfId="7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75" applyNumberFormat="1" applyFont="1" applyAlignment="1">
      <alignment/>
    </xf>
    <xf numFmtId="2" fontId="3" fillId="0" borderId="0" xfId="75" applyNumberFormat="1" applyFont="1" applyBorder="1" applyAlignment="1">
      <alignment/>
    </xf>
    <xf numFmtId="4" fontId="52" fillId="0" borderId="0" xfId="0" applyNumberFormat="1" applyFont="1" applyAlignment="1">
      <alignment vertical="center"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2" fontId="3" fillId="0" borderId="10" xfId="57" applyNumberFormat="1" applyFont="1" applyBorder="1" applyAlignment="1">
      <alignment horizontal="center"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0" fontId="3" fillId="0" borderId="13" xfId="57" applyFont="1" applyBorder="1" applyAlignment="1">
      <alignment horizontal="left" vertical="top" wrapText="1"/>
      <protection/>
    </xf>
    <xf numFmtId="0" fontId="3" fillId="0" borderId="0" xfId="57" applyFont="1">
      <alignment/>
      <protection/>
    </xf>
    <xf numFmtId="0" fontId="3" fillId="0" borderId="10" xfId="57" applyFont="1" applyBorder="1" applyAlignment="1">
      <alignment horizontal="center" vertical="top" wrapText="1"/>
      <protection/>
    </xf>
    <xf numFmtId="0" fontId="3" fillId="0" borderId="14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0" fontId="3" fillId="0" borderId="12" xfId="57" applyFont="1" applyBorder="1">
      <alignment/>
      <protection/>
    </xf>
    <xf numFmtId="0" fontId="4" fillId="0" borderId="0" xfId="57" applyFont="1" applyBorder="1" applyAlignment="1">
      <alignment horizontal="left" vertical="center" wrapText="1"/>
      <protection/>
    </xf>
    <xf numFmtId="0" fontId="3" fillId="0" borderId="0" xfId="57" applyFont="1" applyBorder="1">
      <alignment/>
      <protection/>
    </xf>
    <xf numFmtId="0" fontId="4" fillId="0" borderId="0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left" vertical="top" wrapText="1"/>
      <protection/>
    </xf>
    <xf numFmtId="0" fontId="3" fillId="0" borderId="18" xfId="57" applyFont="1" applyBorder="1" applyAlignment="1">
      <alignment horizontal="center" vertical="top" wrapText="1"/>
      <protection/>
    </xf>
    <xf numFmtId="0" fontId="3" fillId="0" borderId="17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0" fontId="3" fillId="0" borderId="19" xfId="57" applyFont="1" applyBorder="1" applyAlignment="1">
      <alignment horizontal="center" vertical="top" wrapText="1"/>
      <protection/>
    </xf>
    <xf numFmtId="0" fontId="3" fillId="0" borderId="20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wrapText="1"/>
      <protection/>
    </xf>
    <xf numFmtId="0" fontId="3" fillId="0" borderId="21" xfId="57" applyFont="1" applyBorder="1" applyAlignment="1">
      <alignment horizontal="center" wrapText="1"/>
      <protection/>
    </xf>
    <xf numFmtId="0" fontId="3" fillId="0" borderId="22" xfId="57" applyFont="1" applyBorder="1" applyAlignment="1">
      <alignment horizontal="left" vertical="top" wrapText="1"/>
      <protection/>
    </xf>
    <xf numFmtId="0" fontId="3" fillId="0" borderId="23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left" vertical="top" wrapText="1"/>
      <protection/>
    </xf>
    <xf numFmtId="0" fontId="3" fillId="0" borderId="19" xfId="57" applyFont="1" applyBorder="1" applyAlignment="1">
      <alignment horizontal="left" vertical="top" wrapText="1"/>
      <protection/>
    </xf>
    <xf numFmtId="0" fontId="3" fillId="0" borderId="23" xfId="57" applyFont="1" applyBorder="1" applyAlignment="1">
      <alignment horizontal="left" vertical="top" wrapText="1"/>
      <protection/>
    </xf>
    <xf numFmtId="0" fontId="3" fillId="0" borderId="18" xfId="57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left" vertical="top" wrapText="1"/>
      <protection/>
    </xf>
    <xf numFmtId="0" fontId="4" fillId="0" borderId="11" xfId="57" applyFont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right" vertical="top" wrapText="1"/>
      <protection/>
    </xf>
    <xf numFmtId="0" fontId="3" fillId="0" borderId="24" xfId="57" applyFont="1" applyBorder="1" applyAlignment="1">
      <alignment horizontal="right" vertical="top" wrapText="1"/>
      <protection/>
    </xf>
    <xf numFmtId="0" fontId="3" fillId="0" borderId="14" xfId="57" applyFont="1" applyBorder="1" applyAlignment="1">
      <alignment horizontal="right" vertical="top" wrapText="1"/>
      <protection/>
    </xf>
    <xf numFmtId="0" fontId="3" fillId="0" borderId="17" xfId="57" applyFont="1" applyBorder="1" applyAlignment="1">
      <alignment horizontal="right" vertical="top" wrapText="1"/>
      <protection/>
    </xf>
    <xf numFmtId="0" fontId="3" fillId="0" borderId="18" xfId="57" applyFont="1" applyBorder="1" applyAlignment="1">
      <alignment horizontal="right" vertical="top" wrapText="1"/>
      <protection/>
    </xf>
    <xf numFmtId="0" fontId="3" fillId="0" borderId="0" xfId="57" applyFont="1" applyBorder="1" applyAlignment="1">
      <alignment horizontal="right" vertical="top" wrapText="1"/>
      <protection/>
    </xf>
    <xf numFmtId="0" fontId="3" fillId="0" borderId="19" xfId="57" applyFont="1" applyBorder="1" applyAlignment="1">
      <alignment horizontal="right" vertical="top" wrapText="1"/>
      <protection/>
    </xf>
    <xf numFmtId="0" fontId="3" fillId="0" borderId="13" xfId="57" applyFont="1" applyBorder="1" applyAlignment="1">
      <alignment horizontal="right" vertical="top" wrapText="1"/>
      <protection/>
    </xf>
    <xf numFmtId="0" fontId="3" fillId="0" borderId="20" xfId="57" applyFont="1" applyBorder="1" applyAlignment="1">
      <alignment horizontal="right" vertical="top" wrapText="1"/>
      <protection/>
    </xf>
    <xf numFmtId="0" fontId="3" fillId="0" borderId="21" xfId="57" applyFont="1" applyBorder="1" applyAlignment="1">
      <alignment horizontal="right" vertical="top" wrapText="1"/>
      <protection/>
    </xf>
    <xf numFmtId="0" fontId="3" fillId="0" borderId="11" xfId="57" applyFont="1" applyBorder="1" applyAlignment="1">
      <alignment horizontal="left" vertical="top" wrapText="1"/>
      <protection/>
    </xf>
    <xf numFmtId="0" fontId="3" fillId="0" borderId="17" xfId="57" applyFont="1" applyBorder="1">
      <alignment/>
      <protection/>
    </xf>
    <xf numFmtId="2" fontId="3" fillId="0" borderId="12" xfId="57" applyNumberFormat="1" applyFont="1" applyBorder="1" applyAlignment="1">
      <alignment horizontal="center" vertical="top" wrapText="1"/>
      <protection/>
    </xf>
    <xf numFmtId="0" fontId="3" fillId="0" borderId="14" xfId="57" applyFont="1" applyBorder="1">
      <alignment/>
      <protection/>
    </xf>
    <xf numFmtId="0" fontId="3" fillId="0" borderId="11" xfId="57" applyFont="1" applyBorder="1" applyAlignment="1">
      <alignment wrapText="1"/>
      <protection/>
    </xf>
    <xf numFmtId="0" fontId="3" fillId="0" borderId="24" xfId="57" applyFont="1" applyBorder="1" applyAlignment="1">
      <alignment wrapText="1"/>
      <protection/>
    </xf>
    <xf numFmtId="0" fontId="3" fillId="0" borderId="13" xfId="57" applyFont="1" applyBorder="1">
      <alignment/>
      <protection/>
    </xf>
    <xf numFmtId="0" fontId="3" fillId="0" borderId="0" xfId="0" applyFont="1" applyAlignment="1">
      <alignment/>
    </xf>
    <xf numFmtId="0" fontId="3" fillId="0" borderId="24" xfId="57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0" xfId="0" applyFont="1" applyAlignment="1">
      <alignment horizontal="right"/>
    </xf>
    <xf numFmtId="0" fontId="3" fillId="0" borderId="17" xfId="57" applyFont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vertical="top" wrapText="1"/>
      <protection/>
    </xf>
    <xf numFmtId="10" fontId="3" fillId="0" borderId="24" xfId="57" applyNumberFormat="1" applyFont="1" applyBorder="1" applyAlignment="1">
      <alignment horizontal="center" vertical="top" wrapText="1"/>
      <protection/>
    </xf>
    <xf numFmtId="9" fontId="3" fillId="0" borderId="18" xfId="57" applyNumberFormat="1" applyFont="1" applyBorder="1" applyAlignment="1">
      <alignment horizontal="center" vertical="top" wrapText="1"/>
      <protection/>
    </xf>
    <xf numFmtId="0" fontId="3" fillId="0" borderId="24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center" vertical="top"/>
      <protection/>
    </xf>
    <xf numFmtId="2" fontId="3" fillId="0" borderId="10" xfId="57" applyNumberFormat="1" applyFont="1" applyBorder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 wrapText="1"/>
      <protection/>
    </xf>
    <xf numFmtId="2" fontId="3" fillId="0" borderId="12" xfId="57" applyNumberFormat="1" applyFont="1" applyBorder="1" applyAlignment="1">
      <alignment horizontal="center" wrapText="1"/>
      <protection/>
    </xf>
    <xf numFmtId="2" fontId="3" fillId="0" borderId="19" xfId="57" applyNumberFormat="1" applyFont="1" applyBorder="1" applyAlignment="1">
      <alignment horizontal="center" wrapText="1"/>
      <protection/>
    </xf>
    <xf numFmtId="177" fontId="3" fillId="0" borderId="0" xfId="57" applyNumberFormat="1" applyFont="1" applyBorder="1" applyAlignment="1">
      <alignment horizontal="center" vertical="top" wrapText="1"/>
      <protection/>
    </xf>
    <xf numFmtId="2" fontId="3" fillId="0" borderId="0" xfId="57" applyNumberFormat="1" applyFont="1">
      <alignment/>
      <protection/>
    </xf>
    <xf numFmtId="2" fontId="3" fillId="0" borderId="18" xfId="57" applyNumberFormat="1" applyFont="1" applyBorder="1">
      <alignment/>
      <protection/>
    </xf>
    <xf numFmtId="2" fontId="3" fillId="0" borderId="15" xfId="57" applyNumberFormat="1" applyFont="1" applyBorder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/>
      <protection/>
    </xf>
    <xf numFmtId="2" fontId="3" fillId="0" borderId="0" xfId="57" applyNumberFormat="1" applyFont="1" applyBorder="1" applyAlignment="1">
      <alignment horizontal="center" vertical="top" wrapText="1"/>
      <protection/>
    </xf>
    <xf numFmtId="2" fontId="3" fillId="0" borderId="17" xfId="57" applyNumberFormat="1" applyFont="1" applyBorder="1" applyAlignment="1">
      <alignment horizontal="right" vertical="top" wrapText="1"/>
      <protection/>
    </xf>
    <xf numFmtId="2" fontId="3" fillId="0" borderId="22" xfId="57" applyNumberFormat="1" applyFont="1" applyBorder="1" applyAlignment="1">
      <alignment horizontal="center" vertical="top" wrapText="1"/>
      <protection/>
    </xf>
    <xf numFmtId="49" fontId="3" fillId="0" borderId="15" xfId="57" applyNumberFormat="1" applyFont="1" applyBorder="1" applyAlignment="1">
      <alignment horizontal="center" wrapText="1"/>
      <protection/>
    </xf>
    <xf numFmtId="49" fontId="3" fillId="0" borderId="11" xfId="57" applyNumberFormat="1" applyFont="1" applyBorder="1" applyAlignment="1">
      <alignment wrapText="1"/>
      <protection/>
    </xf>
    <xf numFmtId="49" fontId="3" fillId="0" borderId="24" xfId="57" applyNumberFormat="1" applyFont="1" applyBorder="1" applyAlignment="1">
      <alignment wrapText="1"/>
      <protection/>
    </xf>
    <xf numFmtId="49" fontId="3" fillId="0" borderId="15" xfId="57" applyNumberFormat="1" applyFont="1" applyBorder="1" applyAlignment="1">
      <alignment wrapText="1"/>
      <protection/>
    </xf>
    <xf numFmtId="49" fontId="3" fillId="0" borderId="11" xfId="57" applyNumberFormat="1" applyFont="1" applyBorder="1" applyAlignment="1">
      <alignment horizontal="left" wrapText="1"/>
      <protection/>
    </xf>
    <xf numFmtId="49" fontId="3" fillId="0" borderId="21" xfId="57" applyNumberFormat="1" applyFont="1" applyBorder="1" applyAlignment="1">
      <alignment wrapText="1"/>
      <protection/>
    </xf>
    <xf numFmtId="49" fontId="3" fillId="0" borderId="16" xfId="57" applyNumberFormat="1" applyFont="1" applyBorder="1" applyAlignment="1">
      <alignment horizontal="left" wrapText="1"/>
      <protection/>
    </xf>
    <xf numFmtId="49" fontId="3" fillId="0" borderId="16" xfId="57" applyNumberFormat="1" applyFont="1" applyBorder="1" applyAlignment="1">
      <alignment wrapText="1"/>
      <protection/>
    </xf>
    <xf numFmtId="4" fontId="3" fillId="0" borderId="10" xfId="57" applyNumberFormat="1" applyFont="1" applyBorder="1" applyAlignment="1">
      <alignment horizontal="right" wrapText="1"/>
      <protection/>
    </xf>
    <xf numFmtId="4" fontId="3" fillId="0" borderId="19" xfId="57" applyNumberFormat="1" applyFont="1" applyBorder="1" applyAlignment="1">
      <alignment horizontal="right" wrapText="1"/>
      <protection/>
    </xf>
    <xf numFmtId="4" fontId="3" fillId="0" borderId="10" xfId="57" applyNumberFormat="1" applyFont="1" applyBorder="1" applyAlignment="1">
      <alignment horizontal="center" vertical="top" wrapText="1"/>
      <protection/>
    </xf>
    <xf numFmtId="4" fontId="3" fillId="0" borderId="12" xfId="57" applyNumberFormat="1" applyFont="1" applyBorder="1" applyAlignment="1">
      <alignment horizontal="center" vertical="top" wrapText="1"/>
      <protection/>
    </xf>
    <xf numFmtId="4" fontId="3" fillId="0" borderId="10" xfId="57" applyNumberFormat="1" applyFont="1" applyBorder="1" applyAlignment="1">
      <alignment horizontal="center" wrapText="1"/>
      <protection/>
    </xf>
    <xf numFmtId="49" fontId="3" fillId="0" borderId="0" xfId="57" applyNumberFormat="1" applyFont="1" applyAlignment="1">
      <alignment horizontal="right" wrapText="1"/>
      <protection/>
    </xf>
    <xf numFmtId="2" fontId="3" fillId="0" borderId="10" xfId="57" applyNumberFormat="1" applyFont="1" applyBorder="1" applyAlignment="1">
      <alignment horizontal="center" vertical="center" wrapText="1"/>
      <protection/>
    </xf>
    <xf numFmtId="0" fontId="3" fillId="0" borderId="0" xfId="58" applyFont="1">
      <alignment/>
      <protection/>
    </xf>
    <xf numFmtId="0" fontId="3" fillId="0" borderId="16" xfId="58" applyFont="1" applyBorder="1" applyAlignment="1">
      <alignment horizontal="center" wrapText="1"/>
      <protection/>
    </xf>
    <xf numFmtId="0" fontId="3" fillId="0" borderId="15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right" vertical="center"/>
      <protection/>
    </xf>
    <xf numFmtId="4" fontId="3" fillId="0" borderId="15" xfId="58" applyNumberFormat="1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right" vertical="center"/>
      <protection/>
    </xf>
    <xf numFmtId="4" fontId="3" fillId="0" borderId="12" xfId="58" applyNumberFormat="1" applyFont="1" applyBorder="1" applyAlignment="1">
      <alignment horizontal="center" vertical="center"/>
      <protection/>
    </xf>
    <xf numFmtId="0" fontId="3" fillId="0" borderId="21" xfId="58" applyFont="1" applyBorder="1" applyAlignment="1">
      <alignment horizontal="center" vertical="center"/>
      <protection/>
    </xf>
    <xf numFmtId="0" fontId="3" fillId="0" borderId="21" xfId="58" applyFont="1" applyBorder="1" applyAlignment="1">
      <alignment horizontal="right" vertical="center"/>
      <protection/>
    </xf>
    <xf numFmtId="4" fontId="3" fillId="0" borderId="19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175" fontId="3" fillId="0" borderId="11" xfId="58" applyNumberFormat="1" applyFont="1" applyBorder="1" applyAlignment="1">
      <alignment horizontal="center" vertical="center"/>
      <protection/>
    </xf>
    <xf numFmtId="175" fontId="3" fillId="0" borderId="24" xfId="58" applyNumberFormat="1" applyFont="1" applyBorder="1" applyAlignment="1">
      <alignment horizontal="center" vertical="center"/>
      <protection/>
    </xf>
    <xf numFmtId="4" fontId="3" fillId="0" borderId="10" xfId="58" applyNumberFormat="1" applyFont="1" applyBorder="1" applyAlignment="1">
      <alignment horizontal="center" vertical="center"/>
      <protection/>
    </xf>
    <xf numFmtId="0" fontId="3" fillId="0" borderId="22" xfId="58" applyFont="1" applyBorder="1" applyAlignment="1">
      <alignment horizontal="center" vertical="center"/>
      <protection/>
    </xf>
    <xf numFmtId="175" fontId="3" fillId="0" borderId="16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0" fontId="3" fillId="0" borderId="16" xfId="58" applyFont="1" applyFill="1" applyBorder="1" applyAlignment="1">
      <alignment horizontal="center" vertical="center"/>
      <protection/>
    </xf>
    <xf numFmtId="2" fontId="4" fillId="0" borderId="11" xfId="58" applyNumberFormat="1" applyFont="1" applyBorder="1" applyAlignment="1">
      <alignment horizontal="center" vertical="center"/>
      <protection/>
    </xf>
    <xf numFmtId="49" fontId="3" fillId="0" borderId="14" xfId="57" applyNumberFormat="1" applyFont="1" applyFill="1" applyBorder="1" applyAlignment="1">
      <alignment horizontal="left" vertical="top" wrapText="1"/>
      <protection/>
    </xf>
    <xf numFmtId="49" fontId="3" fillId="0" borderId="24" xfId="57" applyNumberFormat="1" applyFont="1" applyFill="1" applyBorder="1" applyAlignment="1">
      <alignment horizontal="left" vertical="top" wrapText="1"/>
      <protection/>
    </xf>
    <xf numFmtId="0" fontId="3" fillId="0" borderId="11" xfId="58" applyFont="1" applyBorder="1">
      <alignment/>
      <protection/>
    </xf>
    <xf numFmtId="0" fontId="3" fillId="0" borderId="24" xfId="58" applyFont="1" applyBorder="1">
      <alignment/>
      <protection/>
    </xf>
    <xf numFmtId="4" fontId="3" fillId="0" borderId="24" xfId="58" applyNumberFormat="1" applyFont="1" applyBorder="1" applyAlignment="1">
      <alignment horizontal="center"/>
      <protection/>
    </xf>
    <xf numFmtId="0" fontId="4" fillId="0" borderId="11" xfId="58" applyFont="1" applyBorder="1">
      <alignment/>
      <protection/>
    </xf>
    <xf numFmtId="0" fontId="4" fillId="0" borderId="24" xfId="58" applyFont="1" applyBorder="1">
      <alignment/>
      <protection/>
    </xf>
    <xf numFmtId="4" fontId="4" fillId="0" borderId="24" xfId="58" applyNumberFormat="1" applyFont="1" applyBorder="1" applyAlignment="1">
      <alignment horizontal="center"/>
      <protection/>
    </xf>
    <xf numFmtId="0" fontId="53" fillId="0" borderId="10" xfId="58" applyFont="1" applyBorder="1" applyAlignment="1">
      <alignment horizontal="center" wrapText="1"/>
      <protection/>
    </xf>
    <xf numFmtId="0" fontId="53" fillId="0" borderId="19" xfId="58" applyFont="1" applyBorder="1" applyAlignment="1">
      <alignment horizontal="center" vertical="center" wrapText="1"/>
      <protection/>
    </xf>
    <xf numFmtId="0" fontId="53" fillId="0" borderId="0" xfId="58" applyFont="1" applyBorder="1" applyAlignment="1">
      <alignment wrapText="1"/>
      <protection/>
    </xf>
    <xf numFmtId="0" fontId="53" fillId="0" borderId="23" xfId="58" applyFont="1" applyBorder="1" applyAlignment="1">
      <alignment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 inden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53" fillId="0" borderId="18" xfId="58" applyFont="1" applyBorder="1" applyAlignment="1">
      <alignment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53" fillId="0" borderId="15" xfId="58" applyFont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center" wrapText="1" indent="1"/>
      <protection/>
    </xf>
    <xf numFmtId="0" fontId="3" fillId="0" borderId="12" xfId="58" applyFont="1" applyFill="1" applyBorder="1" applyAlignment="1">
      <alignment horizontal="right" vertical="center" wrapText="1" indent="1"/>
      <protection/>
    </xf>
    <xf numFmtId="0" fontId="3" fillId="0" borderId="15" xfId="58" applyFont="1" applyBorder="1" applyAlignment="1">
      <alignment horizontal="right" vertical="center" wrapText="1" indent="1"/>
      <protection/>
    </xf>
    <xf numFmtId="0" fontId="53" fillId="0" borderId="20" xfId="58" applyFont="1" applyBorder="1" applyAlignment="1">
      <alignment wrapText="1"/>
      <protection/>
    </xf>
    <xf numFmtId="0" fontId="53" fillId="0" borderId="22" xfId="58" applyFont="1" applyBorder="1" applyAlignment="1">
      <alignment horizontal="center" wrapText="1"/>
      <protection/>
    </xf>
    <xf numFmtId="0" fontId="53" fillId="0" borderId="16" xfId="58" applyFont="1" applyBorder="1" applyAlignment="1">
      <alignment wrapText="1"/>
      <protection/>
    </xf>
    <xf numFmtId="0" fontId="53" fillId="0" borderId="15" xfId="58" applyFont="1" applyBorder="1" applyAlignment="1">
      <alignment horizontal="center" wrapText="1"/>
      <protection/>
    </xf>
    <xf numFmtId="0" fontId="53" fillId="0" borderId="16" xfId="58" applyFont="1" applyBorder="1" applyAlignment="1">
      <alignment horizontal="center" wrapText="1"/>
      <protection/>
    </xf>
    <xf numFmtId="0" fontId="53" fillId="0" borderId="23" xfId="58" applyFont="1" applyBorder="1" applyAlignment="1">
      <alignment horizontal="center" wrapText="1"/>
      <protection/>
    </xf>
    <xf numFmtId="0" fontId="53" fillId="0" borderId="13" xfId="58" applyFont="1" applyBorder="1" applyAlignment="1">
      <alignment horizontal="center" wrapText="1"/>
      <protection/>
    </xf>
    <xf numFmtId="0" fontId="53" fillId="0" borderId="19" xfId="58" applyFont="1" applyBorder="1" applyAlignment="1">
      <alignment wrapText="1"/>
      <protection/>
    </xf>
    <xf numFmtId="0" fontId="53" fillId="0" borderId="21" xfId="58" applyFont="1" applyBorder="1" applyAlignment="1">
      <alignment wrapText="1"/>
      <protection/>
    </xf>
    <xf numFmtId="0" fontId="53" fillId="0" borderId="19" xfId="58" applyFont="1" applyBorder="1" applyAlignment="1">
      <alignment horizontal="center" wrapText="1"/>
      <protection/>
    </xf>
    <xf numFmtId="0" fontId="53" fillId="0" borderId="21" xfId="58" applyFont="1" applyBorder="1" applyAlignment="1">
      <alignment horizontal="center" wrapText="1"/>
      <protection/>
    </xf>
    <xf numFmtId="0" fontId="53" fillId="0" borderId="20" xfId="58" applyFont="1" applyBorder="1" applyAlignment="1">
      <alignment horizontal="center" wrapText="1"/>
      <protection/>
    </xf>
    <xf numFmtId="0" fontId="53" fillId="0" borderId="17" xfId="58" applyFont="1" applyBorder="1" applyAlignment="1">
      <alignment horizontal="center" wrapText="1"/>
      <protection/>
    </xf>
    <xf numFmtId="0" fontId="53" fillId="0" borderId="0" xfId="58" applyFont="1" applyBorder="1" applyAlignment="1">
      <alignment horizontal="center" wrapText="1"/>
      <protection/>
    </xf>
    <xf numFmtId="0" fontId="53" fillId="0" borderId="18" xfId="58" applyFont="1" applyBorder="1" applyAlignment="1">
      <alignment horizontal="center" wrapText="1"/>
      <protection/>
    </xf>
    <xf numFmtId="0" fontId="53" fillId="0" borderId="15" xfId="58" applyFont="1" applyBorder="1" applyAlignment="1">
      <alignment horizontal="left" vertical="center" wrapText="1"/>
      <protection/>
    </xf>
    <xf numFmtId="0" fontId="53" fillId="0" borderId="22" xfId="58" applyFont="1" applyBorder="1" applyAlignment="1">
      <alignment horizontal="center" vertical="center" wrapText="1"/>
      <protection/>
    </xf>
    <xf numFmtId="0" fontId="53" fillId="0" borderId="16" xfId="58" applyFont="1" applyBorder="1" applyAlignment="1">
      <alignment horizontal="center" vertical="center" wrapText="1"/>
      <protection/>
    </xf>
    <xf numFmtId="0" fontId="53" fillId="0" borderId="23" xfId="58" applyFont="1" applyBorder="1" applyAlignment="1">
      <alignment horizontal="center" vertical="center" wrapText="1"/>
      <protection/>
    </xf>
    <xf numFmtId="2" fontId="53" fillId="0" borderId="23" xfId="58" applyNumberFormat="1" applyFont="1" applyBorder="1" applyAlignment="1">
      <alignment horizontal="center" vertical="center" wrapText="1"/>
      <protection/>
    </xf>
    <xf numFmtId="2" fontId="53" fillId="0" borderId="15" xfId="58" applyNumberFormat="1" applyFont="1" applyBorder="1" applyAlignment="1">
      <alignment horizontal="center" vertical="center" wrapText="1"/>
      <protection/>
    </xf>
    <xf numFmtId="0" fontId="53" fillId="0" borderId="19" xfId="58" applyFont="1" applyBorder="1" applyAlignment="1">
      <alignment horizontal="right" vertical="center" wrapText="1"/>
      <protection/>
    </xf>
    <xf numFmtId="0" fontId="53" fillId="0" borderId="21" xfId="58" applyFont="1" applyBorder="1" applyAlignment="1">
      <alignment horizontal="center" vertical="center" wrapText="1"/>
      <protection/>
    </xf>
    <xf numFmtId="2" fontId="53" fillId="0" borderId="19" xfId="58" applyNumberFormat="1" applyFont="1" applyBorder="1" applyAlignment="1">
      <alignment horizontal="center" vertical="center" wrapText="1"/>
      <protection/>
    </xf>
    <xf numFmtId="0" fontId="54" fillId="0" borderId="24" xfId="58" applyFont="1" applyBorder="1" applyAlignment="1">
      <alignment horizontal="left" vertical="center" wrapText="1"/>
      <protection/>
    </xf>
    <xf numFmtId="2" fontId="54" fillId="0" borderId="24" xfId="58" applyNumberFormat="1" applyFont="1" applyBorder="1" applyAlignment="1">
      <alignment horizontal="center" vertical="center" wrapText="1"/>
      <protection/>
    </xf>
    <xf numFmtId="2" fontId="54" fillId="0" borderId="10" xfId="58" applyNumberFormat="1" applyFont="1" applyBorder="1" applyAlignment="1">
      <alignment horizontal="center" vertical="center" wrapText="1"/>
      <protection/>
    </xf>
    <xf numFmtId="0" fontId="53" fillId="0" borderId="19" xfId="58" applyFont="1" applyFill="1" applyBorder="1" applyAlignment="1">
      <alignment horizontal="left" vertical="center" wrapText="1"/>
      <protection/>
    </xf>
    <xf numFmtId="0" fontId="53" fillId="0" borderId="13" xfId="58" applyFont="1" applyFill="1" applyBorder="1" applyAlignment="1">
      <alignment horizontal="center" vertical="center" wrapText="1"/>
      <protection/>
    </xf>
    <xf numFmtId="0" fontId="53" fillId="0" borderId="11" xfId="58" applyFont="1" applyFill="1" applyBorder="1" applyAlignment="1">
      <alignment horizontal="center" vertical="center" wrapText="1"/>
      <protection/>
    </xf>
    <xf numFmtId="0" fontId="53" fillId="0" borderId="24" xfId="58" applyFont="1" applyFill="1" applyBorder="1" applyAlignment="1">
      <alignment horizontal="center" vertical="center" wrapText="1"/>
      <protection/>
    </xf>
    <xf numFmtId="2" fontId="53" fillId="0" borderId="20" xfId="58" applyNumberFormat="1" applyFont="1" applyFill="1" applyBorder="1" applyAlignment="1">
      <alignment horizontal="center" vertical="center" wrapText="1"/>
      <protection/>
    </xf>
    <xf numFmtId="0" fontId="53" fillId="0" borderId="10" xfId="58" applyFont="1" applyFill="1" applyBorder="1" applyAlignment="1">
      <alignment horizontal="left" vertical="center" wrapText="1"/>
      <protection/>
    </xf>
    <xf numFmtId="0" fontId="53" fillId="0" borderId="10" xfId="58" applyFont="1" applyFill="1" applyBorder="1" applyAlignment="1">
      <alignment horizontal="center" vertical="center" wrapText="1"/>
      <protection/>
    </xf>
    <xf numFmtId="0" fontId="53" fillId="0" borderId="14" xfId="58" applyFont="1" applyFill="1" applyBorder="1" applyAlignment="1">
      <alignment horizontal="center" vertical="center" wrapText="1"/>
      <protection/>
    </xf>
    <xf numFmtId="0" fontId="53" fillId="0" borderId="0" xfId="58" applyFont="1" applyFill="1" applyBorder="1" applyAlignment="1">
      <alignment horizontal="center" vertical="center" wrapText="1"/>
      <protection/>
    </xf>
    <xf numFmtId="0" fontId="53" fillId="0" borderId="18" xfId="58" applyFont="1" applyFill="1" applyBorder="1" applyAlignment="1">
      <alignment horizontal="center" vertical="center" wrapText="1"/>
      <protection/>
    </xf>
    <xf numFmtId="2" fontId="53" fillId="0" borderId="24" xfId="58" applyNumberFormat="1" applyFont="1" applyFill="1" applyBorder="1" applyAlignment="1">
      <alignment horizontal="center" vertical="center" wrapText="1"/>
      <protection/>
    </xf>
    <xf numFmtId="0" fontId="54" fillId="0" borderId="11" xfId="58" applyFont="1" applyFill="1" applyBorder="1" applyAlignment="1">
      <alignment horizontal="left" vertical="center" wrapText="1"/>
      <protection/>
    </xf>
    <xf numFmtId="0" fontId="54" fillId="0" borderId="24" xfId="58" applyFont="1" applyFill="1" applyBorder="1" applyAlignment="1">
      <alignment horizontal="left" vertical="center" wrapText="1"/>
      <protection/>
    </xf>
    <xf numFmtId="2" fontId="54" fillId="0" borderId="24" xfId="58" applyNumberFormat="1" applyFont="1" applyFill="1" applyBorder="1" applyAlignment="1">
      <alignment horizontal="center" vertical="center" wrapText="1"/>
      <protection/>
    </xf>
    <xf numFmtId="2" fontId="54" fillId="0" borderId="10" xfId="58" applyNumberFormat="1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left" vertical="center" wrapText="1" shrinkToFit="1"/>
      <protection/>
    </xf>
    <xf numFmtId="0" fontId="53" fillId="0" borderId="14" xfId="58" applyFont="1" applyBorder="1" applyAlignment="1">
      <alignment horizontal="center" vertical="center" wrapText="1"/>
      <protection/>
    </xf>
    <xf numFmtId="0" fontId="53" fillId="0" borderId="24" xfId="58" applyFont="1" applyBorder="1" applyAlignment="1">
      <alignment horizontal="center" wrapText="1"/>
      <protection/>
    </xf>
    <xf numFmtId="0" fontId="53" fillId="0" borderId="11" xfId="58" applyFont="1" applyBorder="1" applyAlignment="1">
      <alignment horizontal="center" vertical="center" wrapText="1"/>
      <protection/>
    </xf>
    <xf numFmtId="0" fontId="53" fillId="0" borderId="24" xfId="58" applyFont="1" applyBorder="1" applyAlignment="1">
      <alignment horizontal="center" vertical="center" wrapText="1"/>
      <protection/>
    </xf>
    <xf numFmtId="0" fontId="53" fillId="0" borderId="10" xfId="58" applyFont="1" applyBorder="1" applyAlignment="1">
      <alignment vertical="top" wrapText="1"/>
      <protection/>
    </xf>
    <xf numFmtId="0" fontId="53" fillId="0" borderId="14" xfId="58" applyFont="1" applyBorder="1" applyAlignment="1">
      <alignment horizontal="center" vertical="top" wrapText="1"/>
      <protection/>
    </xf>
    <xf numFmtId="0" fontId="53" fillId="0" borderId="13" xfId="58" applyFont="1" applyBorder="1" applyAlignment="1">
      <alignment horizontal="center" vertical="top" wrapText="1"/>
      <protection/>
    </xf>
    <xf numFmtId="0" fontId="53" fillId="0" borderId="21" xfId="58" applyFont="1" applyBorder="1" applyAlignment="1">
      <alignment horizontal="center" vertical="top" wrapText="1"/>
      <protection/>
    </xf>
    <xf numFmtId="0" fontId="53" fillId="0" borderId="20" xfId="58" applyFont="1" applyBorder="1" applyAlignment="1">
      <alignment horizontal="center" vertical="top" wrapText="1"/>
      <protection/>
    </xf>
    <xf numFmtId="2" fontId="54" fillId="0" borderId="24" xfId="58" applyNumberFormat="1" applyFont="1" applyBorder="1" applyAlignment="1">
      <alignment horizontal="center" wrapText="1"/>
      <protection/>
    </xf>
    <xf numFmtId="2" fontId="54" fillId="0" borderId="10" xfId="58" applyNumberFormat="1" applyFont="1" applyBorder="1" applyAlignment="1">
      <alignment horizont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4" xfId="58" applyFont="1" applyFill="1" applyBorder="1" applyAlignment="1">
      <alignment horizontal="center" vertical="center" wrapText="1"/>
      <protection/>
    </xf>
    <xf numFmtId="0" fontId="3" fillId="33" borderId="22" xfId="58" applyFont="1" applyFill="1" applyBorder="1" applyAlignment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 wrapText="1"/>
      <protection/>
    </xf>
    <xf numFmtId="0" fontId="3" fillId="33" borderId="23" xfId="58" applyFont="1" applyFill="1" applyBorder="1" applyAlignment="1">
      <alignment horizontal="center" vertical="center" wrapText="1"/>
      <protection/>
    </xf>
    <xf numFmtId="0" fontId="3" fillId="33" borderId="24" xfId="58" applyFont="1" applyFill="1" applyBorder="1" applyAlignment="1">
      <alignment horizontal="center" wrapText="1"/>
      <protection/>
    </xf>
    <xf numFmtId="0" fontId="53" fillId="0" borderId="14" xfId="58" applyFont="1" applyBorder="1" applyAlignment="1">
      <alignment horizontal="center" vertical="center"/>
      <protection/>
    </xf>
    <xf numFmtId="0" fontId="53" fillId="0" borderId="11" xfId="58" applyFont="1" applyBorder="1" applyAlignment="1">
      <alignment horizontal="center" vertical="center"/>
      <protection/>
    </xf>
    <xf numFmtId="0" fontId="53" fillId="0" borderId="24" xfId="58" applyFont="1" applyBorder="1" applyAlignment="1">
      <alignment horizontal="center" vertical="center"/>
      <protection/>
    </xf>
    <xf numFmtId="0" fontId="53" fillId="0" borderId="24" xfId="58" applyFont="1" applyBorder="1" applyAlignment="1">
      <alignment horizontal="center"/>
      <protection/>
    </xf>
    <xf numFmtId="0" fontId="53" fillId="0" borderId="10" xfId="58" applyFont="1" applyBorder="1" applyAlignment="1">
      <alignment horizontal="center" vertical="center"/>
      <protection/>
    </xf>
    <xf numFmtId="0" fontId="53" fillId="0" borderId="14" xfId="58" applyFont="1" applyFill="1" applyBorder="1" applyAlignment="1">
      <alignment horizontal="center" vertical="center"/>
      <protection/>
    </xf>
    <xf numFmtId="0" fontId="53" fillId="0" borderId="21" xfId="58" applyFont="1" applyFill="1" applyBorder="1" applyAlignment="1">
      <alignment horizontal="center" vertical="center"/>
      <protection/>
    </xf>
    <xf numFmtId="0" fontId="53" fillId="0" borderId="20" xfId="58" applyFont="1" applyFill="1" applyBorder="1" applyAlignment="1">
      <alignment horizontal="center" vertical="center"/>
      <protection/>
    </xf>
    <xf numFmtId="2" fontId="53" fillId="0" borderId="24" xfId="58" applyNumberFormat="1" applyFont="1" applyBorder="1" applyAlignment="1">
      <alignment horizontal="center"/>
      <protection/>
    </xf>
    <xf numFmtId="0" fontId="54" fillId="0" borderId="10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24" xfId="58" applyFont="1" applyBorder="1" applyAlignment="1">
      <alignment horizontal="center" vertical="center" wrapText="1"/>
      <protection/>
    </xf>
    <xf numFmtId="2" fontId="53" fillId="0" borderId="24" xfId="58" applyNumberFormat="1" applyFont="1" applyBorder="1" applyAlignment="1">
      <alignment horizontal="center" wrapText="1"/>
      <protection/>
    </xf>
    <xf numFmtId="2" fontId="53" fillId="0" borderId="10" xfId="58" applyNumberFormat="1" applyFont="1" applyBorder="1" applyAlignment="1">
      <alignment horizontal="center" wrapText="1"/>
      <protection/>
    </xf>
    <xf numFmtId="0" fontId="54" fillId="0" borderId="22" xfId="58" applyFont="1" applyBorder="1" applyAlignment="1">
      <alignment horizontal="left" vertical="center" wrapText="1"/>
      <protection/>
    </xf>
    <xf numFmtId="0" fontId="54" fillId="0" borderId="16" xfId="58" applyFont="1" applyBorder="1" applyAlignment="1">
      <alignment horizontal="left" vertical="center" wrapText="1"/>
      <protection/>
    </xf>
    <xf numFmtId="0" fontId="54" fillId="0" borderId="23" xfId="58" applyFont="1" applyBorder="1" applyAlignment="1">
      <alignment horizontal="left" vertical="center" wrapText="1"/>
      <protection/>
    </xf>
    <xf numFmtId="4" fontId="54" fillId="0" borderId="24" xfId="58" applyNumberFormat="1" applyFont="1" applyBorder="1" applyAlignment="1">
      <alignment horizontal="center" wrapText="1"/>
      <protection/>
    </xf>
    <xf numFmtId="4" fontId="54" fillId="0" borderId="10" xfId="58" applyNumberFormat="1" applyFont="1" applyBorder="1" applyAlignment="1">
      <alignment horizontal="center" wrapText="1"/>
      <protection/>
    </xf>
    <xf numFmtId="0" fontId="53" fillId="0" borderId="19" xfId="57" applyFont="1" applyBorder="1" applyAlignment="1">
      <alignment horizontal="left" vertical="top" wrapText="1"/>
      <protection/>
    </xf>
    <xf numFmtId="0" fontId="53" fillId="0" borderId="13" xfId="58" applyFont="1" applyBorder="1" applyAlignment="1">
      <alignment horizontal="center" vertical="center" wrapText="1"/>
      <protection/>
    </xf>
    <xf numFmtId="0" fontId="53" fillId="0" borderId="17" xfId="58" applyFont="1" applyBorder="1" applyAlignment="1">
      <alignment horizontal="center" vertical="center" wrapText="1"/>
      <protection/>
    </xf>
    <xf numFmtId="0" fontId="53" fillId="0" borderId="0" xfId="58" applyFont="1" applyBorder="1" applyAlignment="1">
      <alignment horizontal="center" vertical="center" wrapText="1"/>
      <protection/>
    </xf>
    <xf numFmtId="0" fontId="53" fillId="0" borderId="18" xfId="58" applyFont="1" applyBorder="1" applyAlignment="1">
      <alignment horizontal="center" vertical="center" wrapText="1"/>
      <protection/>
    </xf>
    <xf numFmtId="4" fontId="53" fillId="0" borderId="20" xfId="58" applyNumberFormat="1" applyFont="1" applyBorder="1" applyAlignment="1">
      <alignment horizontal="center" wrapText="1"/>
      <protection/>
    </xf>
    <xf numFmtId="4" fontId="53" fillId="0" borderId="19" xfId="58" applyNumberFormat="1" applyFont="1" applyBorder="1" applyAlignment="1">
      <alignment horizontal="center" wrapText="1"/>
      <protection/>
    </xf>
    <xf numFmtId="4" fontId="53" fillId="0" borderId="24" xfId="58" applyNumberFormat="1" applyFont="1" applyBorder="1" applyAlignment="1">
      <alignment horizontal="center" wrapText="1"/>
      <protection/>
    </xf>
    <xf numFmtId="4" fontId="53" fillId="0" borderId="10" xfId="58" applyNumberFormat="1" applyFont="1" applyBorder="1" applyAlignment="1">
      <alignment horizontal="center" wrapText="1"/>
      <protection/>
    </xf>
    <xf numFmtId="0" fontId="54" fillId="0" borderId="13" xfId="58" applyFont="1" applyBorder="1" applyAlignment="1">
      <alignment horizontal="left" vertical="center" wrapText="1"/>
      <protection/>
    </xf>
    <xf numFmtId="0" fontId="54" fillId="0" borderId="21" xfId="58" applyFont="1" applyBorder="1" applyAlignment="1">
      <alignment horizontal="left" vertical="center" wrapText="1"/>
      <protection/>
    </xf>
    <xf numFmtId="0" fontId="54" fillId="0" borderId="20" xfId="58" applyFont="1" applyBorder="1" applyAlignment="1">
      <alignment horizontal="left" vertical="center" wrapText="1"/>
      <protection/>
    </xf>
    <xf numFmtId="0" fontId="3" fillId="0" borderId="0" xfId="54" applyFont="1">
      <alignment/>
      <protection/>
    </xf>
    <xf numFmtId="0" fontId="3" fillId="0" borderId="25" xfId="54" applyFont="1" applyBorder="1" applyAlignment="1">
      <alignment horizontal="left" vertical="center"/>
      <protection/>
    </xf>
    <xf numFmtId="0" fontId="3" fillId="0" borderId="26" xfId="54" applyFont="1" applyBorder="1" applyAlignment="1">
      <alignment horizontal="left" vertical="center" wrapText="1" indent="1"/>
      <protection/>
    </xf>
    <xf numFmtId="0" fontId="3" fillId="0" borderId="26" xfId="54" applyFont="1" applyBorder="1" applyAlignment="1">
      <alignment horizontal="left" vertical="center" indent="1"/>
      <protection/>
    </xf>
    <xf numFmtId="0" fontId="3" fillId="0" borderId="27" xfId="54" applyFont="1" applyFill="1" applyBorder="1" applyAlignment="1">
      <alignment vertical="center" wrapText="1"/>
      <protection/>
    </xf>
    <xf numFmtId="0" fontId="3" fillId="0" borderId="28" xfId="54" applyFont="1" applyFill="1" applyBorder="1" applyAlignment="1">
      <alignment vertical="center" wrapText="1"/>
      <protection/>
    </xf>
    <xf numFmtId="0" fontId="3" fillId="0" borderId="25" xfId="54" applyFont="1" applyBorder="1" applyAlignment="1">
      <alignment vertical="center"/>
      <protection/>
    </xf>
    <xf numFmtId="0" fontId="9" fillId="0" borderId="25" xfId="54" applyFont="1" applyBorder="1" applyAlignment="1">
      <alignment vertical="center"/>
      <protection/>
    </xf>
    <xf numFmtId="0" fontId="4" fillId="0" borderId="25" xfId="54" applyFont="1" applyBorder="1" applyAlignment="1">
      <alignment vertical="center"/>
      <protection/>
    </xf>
    <xf numFmtId="0" fontId="4" fillId="0" borderId="29" xfId="54" applyFont="1" applyBorder="1" applyAlignment="1">
      <alignment vertical="center"/>
      <protection/>
    </xf>
    <xf numFmtId="0" fontId="3" fillId="0" borderId="30" xfId="54" applyFont="1" applyBorder="1" applyAlignment="1">
      <alignment horizontal="left" vertical="center" wrapText="1" indent="1"/>
      <protection/>
    </xf>
    <xf numFmtId="0" fontId="3" fillId="0" borderId="0" xfId="54" applyFont="1" applyAlignment="1">
      <alignment vertical="center"/>
      <protection/>
    </xf>
    <xf numFmtId="4" fontId="3" fillId="0" borderId="0" xfId="54" applyNumberFormat="1" applyFont="1" applyAlignment="1">
      <alignment horizontal="center" vertical="center"/>
      <protection/>
    </xf>
    <xf numFmtId="4" fontId="4" fillId="0" borderId="31" xfId="54" applyNumberFormat="1" applyFont="1" applyFill="1" applyBorder="1" applyAlignment="1">
      <alignment horizontal="right" vertical="center"/>
      <protection/>
    </xf>
    <xf numFmtId="193" fontId="3" fillId="0" borderId="31" xfId="54" applyNumberFormat="1" applyFont="1" applyFill="1" applyBorder="1" applyAlignment="1">
      <alignment horizontal="right" vertical="center"/>
      <protection/>
    </xf>
    <xf numFmtId="4" fontId="3" fillId="0" borderId="31" xfId="54" applyNumberFormat="1" applyFont="1" applyFill="1" applyBorder="1" applyAlignment="1">
      <alignment horizontal="right" vertical="center"/>
      <protection/>
    </xf>
    <xf numFmtId="4" fontId="4" fillId="0" borderId="31" xfId="54" applyNumberFormat="1" applyFont="1" applyFill="1" applyBorder="1" applyAlignment="1">
      <alignment vertical="center"/>
      <protection/>
    </xf>
    <xf numFmtId="4" fontId="3" fillId="0" borderId="31" xfId="54" applyNumberFormat="1" applyFont="1" applyFill="1" applyBorder="1" applyAlignment="1">
      <alignment vertical="center"/>
      <protection/>
    </xf>
    <xf numFmtId="4" fontId="4" fillId="0" borderId="32" xfId="54" applyNumberFormat="1" applyFont="1" applyFill="1" applyBorder="1" applyAlignment="1">
      <alignment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left" vertical="center" wrapText="1"/>
    </xf>
    <xf numFmtId="4" fontId="3" fillId="0" borderId="0" xfId="54" applyNumberFormat="1" applyFont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5" xfId="63" applyFont="1" applyBorder="1" applyAlignment="1">
      <alignment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wrapText="1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vertical="center" wrapText="1"/>
      <protection/>
    </xf>
    <xf numFmtId="0" fontId="3" fillId="0" borderId="22" xfId="63" applyFont="1" applyBorder="1" applyAlignment="1">
      <alignment horizontal="center" wrapText="1"/>
      <protection/>
    </xf>
    <xf numFmtId="0" fontId="3" fillId="0" borderId="23" xfId="63" applyFont="1" applyBorder="1">
      <alignment/>
      <protection/>
    </xf>
    <xf numFmtId="0" fontId="3" fillId="0" borderId="16" xfId="63" applyFont="1" applyBorder="1" applyAlignment="1">
      <alignment horizontal="center" wrapText="1"/>
      <protection/>
    </xf>
    <xf numFmtId="0" fontId="3" fillId="0" borderId="17" xfId="63" applyFont="1" applyBorder="1" applyAlignment="1">
      <alignment vertical="center" wrapText="1"/>
      <protection/>
    </xf>
    <xf numFmtId="0" fontId="3" fillId="0" borderId="17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8" xfId="63" applyFont="1" applyBorder="1">
      <alignment/>
      <protection/>
    </xf>
    <xf numFmtId="0" fontId="3" fillId="0" borderId="0" xfId="63" applyFont="1" applyBorder="1" applyAlignment="1">
      <alignment horizontal="center" wrapText="1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5" xfId="57" applyFont="1" applyBorder="1" applyAlignment="1">
      <alignment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vertical="center" wrapText="1"/>
      <protection/>
    </xf>
    <xf numFmtId="0" fontId="3" fillId="0" borderId="16" xfId="57" applyFont="1" applyBorder="1" applyAlignment="1">
      <alignment vertical="center" wrapText="1"/>
      <protection/>
    </xf>
    <xf numFmtId="0" fontId="3" fillId="0" borderId="23" xfId="57" applyFont="1" applyBorder="1" applyAlignment="1">
      <alignment vertical="center" wrapText="1"/>
      <protection/>
    </xf>
    <xf numFmtId="4" fontId="3" fillId="0" borderId="15" xfId="57" applyNumberFormat="1" applyFont="1" applyBorder="1" applyAlignment="1">
      <alignment horizontal="center" vertical="center"/>
      <protection/>
    </xf>
    <xf numFmtId="0" fontId="3" fillId="0" borderId="12" xfId="57" applyFont="1" applyBorder="1" applyAlignment="1">
      <alignment vertical="center" wrapText="1"/>
      <protection/>
    </xf>
    <xf numFmtId="175" fontId="3" fillId="0" borderId="12" xfId="57" applyNumberFormat="1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 wrapText="1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2" xfId="61" applyFont="1" applyBorder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3" fillId="0" borderId="12" xfId="57" applyFont="1" applyBorder="1" applyAlignment="1">
      <alignment/>
      <protection/>
    </xf>
    <xf numFmtId="0" fontId="3" fillId="0" borderId="19" xfId="57" applyFont="1" applyBorder="1" applyAlignment="1">
      <alignment vertical="center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vertical="center"/>
      <protection/>
    </xf>
    <xf numFmtId="2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4" xfId="65" applyFont="1" applyBorder="1" applyAlignment="1">
      <alignment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57" applyFont="1" applyBorder="1" applyAlignment="1">
      <alignment wrapText="1"/>
      <protection/>
    </xf>
    <xf numFmtId="0" fontId="3" fillId="0" borderId="21" xfId="57" applyFont="1" applyBorder="1" applyAlignment="1">
      <alignment vertical="center" wrapText="1"/>
      <protection/>
    </xf>
    <xf numFmtId="4" fontId="3" fillId="0" borderId="19" xfId="57" applyNumberFormat="1" applyFont="1" applyBorder="1" applyAlignment="1">
      <alignment horizontal="center" vertical="center"/>
      <protection/>
    </xf>
    <xf numFmtId="0" fontId="3" fillId="0" borderId="19" xfId="57" applyFont="1" applyBorder="1" applyAlignment="1">
      <alignment vertical="center" wrapText="1"/>
      <protection/>
    </xf>
    <xf numFmtId="0" fontId="3" fillId="0" borderId="0" xfId="65" applyFont="1" applyAlignment="1">
      <alignment vertical="center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4" fillId="0" borderId="19" xfId="57" applyFont="1" applyBorder="1">
      <alignment/>
      <protection/>
    </xf>
    <xf numFmtId="4" fontId="4" fillId="0" borderId="10" xfId="57" applyNumberFormat="1" applyFont="1" applyBorder="1" applyAlignment="1">
      <alignment wrapText="1"/>
      <protection/>
    </xf>
    <xf numFmtId="2" fontId="3" fillId="0" borderId="12" xfId="57" applyNumberFormat="1" applyFont="1" applyBorder="1" applyAlignment="1">
      <alignment horizontal="center" vertical="center" wrapText="1"/>
      <protection/>
    </xf>
    <xf numFmtId="4" fontId="3" fillId="0" borderId="12" xfId="57" applyNumberFormat="1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left" vertical="center"/>
      <protection/>
    </xf>
    <xf numFmtId="10" fontId="3" fillId="0" borderId="12" xfId="57" applyNumberFormat="1" applyFont="1" applyFill="1" applyBorder="1" applyAlignment="1">
      <alignment horizontal="center" vertical="center"/>
      <protection/>
    </xf>
    <xf numFmtId="0" fontId="3" fillId="0" borderId="20" xfId="57" applyFont="1" applyBorder="1" applyAlignment="1">
      <alignment vertical="center" wrapText="1"/>
      <protection/>
    </xf>
    <xf numFmtId="0" fontId="3" fillId="0" borderId="14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0" fontId="3" fillId="0" borderId="10" xfId="57" applyFont="1" applyBorder="1" applyAlignment="1">
      <alignment horizontal="left" wrapText="1"/>
      <protection/>
    </xf>
    <xf numFmtId="183" fontId="3" fillId="0" borderId="10" xfId="57" applyNumberFormat="1" applyFont="1" applyBorder="1" applyAlignment="1">
      <alignment horizontal="center" wrapText="1"/>
      <protection/>
    </xf>
    <xf numFmtId="0" fontId="3" fillId="0" borderId="14" xfId="57" applyFont="1" applyBorder="1" applyAlignment="1">
      <alignment vertical="center"/>
      <protection/>
    </xf>
    <xf numFmtId="0" fontId="3" fillId="0" borderId="11" xfId="57" applyFont="1" applyBorder="1">
      <alignment/>
      <protection/>
    </xf>
    <xf numFmtId="4" fontId="3" fillId="0" borderId="10" xfId="57" applyNumberFormat="1" applyFont="1" applyBorder="1" applyAlignment="1">
      <alignment horizontal="center"/>
      <protection/>
    </xf>
    <xf numFmtId="0" fontId="3" fillId="0" borderId="0" xfId="57" applyFont="1" applyAlignment="1">
      <alignment vertical="center"/>
      <protection/>
    </xf>
    <xf numFmtId="183" fontId="3" fillId="0" borderId="31" xfId="54" applyNumberFormat="1" applyFont="1" applyFill="1" applyBorder="1" applyAlignment="1">
      <alignment horizontal="right" vertical="center"/>
      <protection/>
    </xf>
    <xf numFmtId="184" fontId="3" fillId="0" borderId="31" xfId="54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49" fontId="3" fillId="0" borderId="0" xfId="57" applyNumberFormat="1" applyFont="1" applyAlignment="1">
      <alignment horizontal="center" wrapText="1"/>
      <protection/>
    </xf>
    <xf numFmtId="0" fontId="3" fillId="0" borderId="22" xfId="58" applyFont="1" applyBorder="1" applyAlignment="1">
      <alignment horizontal="center" wrapText="1"/>
      <protection/>
    </xf>
    <xf numFmtId="0" fontId="54" fillId="0" borderId="10" xfId="58" applyFont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left" vertical="center" wrapText="1"/>
      <protection/>
    </xf>
    <xf numFmtId="0" fontId="53" fillId="0" borderId="10" xfId="58" applyFont="1" applyBorder="1" applyAlignment="1">
      <alignment wrapText="1"/>
      <protection/>
    </xf>
    <xf numFmtId="0" fontId="53" fillId="0" borderId="15" xfId="58" applyFont="1" applyBorder="1" applyAlignment="1">
      <alignment wrapText="1"/>
      <protection/>
    </xf>
    <xf numFmtId="0" fontId="54" fillId="0" borderId="14" xfId="58" applyFont="1" applyBorder="1" applyAlignment="1">
      <alignment horizontal="left" vertical="center" wrapText="1"/>
      <protection/>
    </xf>
    <xf numFmtId="0" fontId="54" fillId="0" borderId="14" xfId="58" applyFont="1" applyFill="1" applyBorder="1" applyAlignment="1">
      <alignment horizontal="left" vertical="center" wrapText="1"/>
      <protection/>
    </xf>
    <xf numFmtId="0" fontId="54" fillId="0" borderId="11" xfId="58" applyFont="1" applyBorder="1" applyAlignment="1">
      <alignment horizontal="left" vertical="center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171" fontId="3" fillId="0" borderId="0" xfId="75" applyNumberFormat="1" applyFont="1" applyAlignment="1">
      <alignment horizontal="right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3" fillId="0" borderId="24" xfId="57" applyNumberFormat="1" applyFont="1" applyBorder="1" applyAlignment="1">
      <alignment horizontal="center" wrapText="1"/>
      <protection/>
    </xf>
    <xf numFmtId="49" fontId="3" fillId="0" borderId="15" xfId="57" applyNumberFormat="1" applyFont="1" applyBorder="1" applyAlignment="1">
      <alignment horizontal="center" vertical="top" wrapText="1"/>
      <protection/>
    </xf>
    <xf numFmtId="49" fontId="3" fillId="0" borderId="15" xfId="57" applyNumberFormat="1" applyFont="1" applyFill="1" applyBorder="1" applyAlignment="1">
      <alignment vertical="top" wrapText="1"/>
      <protection/>
    </xf>
    <xf numFmtId="0" fontId="53" fillId="0" borderId="16" xfId="0" applyFont="1" applyBorder="1" applyAlignment="1">
      <alignment horizontal="right"/>
    </xf>
    <xf numFmtId="2" fontId="3" fillId="0" borderId="16" xfId="57" applyNumberFormat="1" applyFont="1" applyBorder="1" applyAlignment="1">
      <alignment horizontal="right" wrapText="1"/>
      <protection/>
    </xf>
    <xf numFmtId="0" fontId="3" fillId="0" borderId="16" xfId="57" applyNumberFormat="1" applyFont="1" applyBorder="1" applyAlignment="1">
      <alignment wrapText="1"/>
      <protection/>
    </xf>
    <xf numFmtId="0" fontId="3" fillId="0" borderId="16" xfId="57" applyNumberFormat="1" applyFont="1" applyBorder="1" applyAlignment="1">
      <alignment horizontal="left" wrapText="1"/>
      <protection/>
    </xf>
    <xf numFmtId="172" fontId="3" fillId="0" borderId="16" xfId="57" applyNumberFormat="1" applyFont="1" applyBorder="1" applyAlignment="1">
      <alignment horizontal="left" wrapText="1"/>
      <protection/>
    </xf>
    <xf numFmtId="175" fontId="3" fillId="0" borderId="16" xfId="0" applyNumberFormat="1" applyFont="1" applyBorder="1" applyAlignment="1">
      <alignment/>
    </xf>
    <xf numFmtId="183" fontId="3" fillId="0" borderId="15" xfId="57" applyNumberFormat="1" applyFont="1" applyBorder="1" applyAlignment="1">
      <alignment horizontal="right" wrapText="1"/>
      <protection/>
    </xf>
    <xf numFmtId="49" fontId="3" fillId="0" borderId="12" xfId="57" applyNumberFormat="1" applyFont="1" applyBorder="1" applyAlignment="1">
      <alignment horizontal="center" wrapText="1"/>
      <protection/>
    </xf>
    <xf numFmtId="49" fontId="3" fillId="0" borderId="12" xfId="57" applyNumberFormat="1" applyFont="1" applyFill="1" applyBorder="1" applyAlignment="1">
      <alignment vertical="top" wrapText="1"/>
      <protection/>
    </xf>
    <xf numFmtId="0" fontId="3" fillId="0" borderId="10" xfId="57" applyNumberFormat="1" applyFont="1" applyBorder="1" applyAlignment="1">
      <alignment horizontal="left" vertical="top" wrapText="1"/>
      <protection/>
    </xf>
    <xf numFmtId="2" fontId="3" fillId="0" borderId="19" xfId="57" applyNumberFormat="1" applyFont="1" applyBorder="1" applyAlignment="1">
      <alignment horizontal="left" vertical="top" wrapText="1"/>
      <protection/>
    </xf>
    <xf numFmtId="0" fontId="3" fillId="0" borderId="0" xfId="57" applyNumberFormat="1" applyFont="1" applyBorder="1" applyAlignment="1">
      <alignment horizontal="left" vertical="top" wrapText="1"/>
      <protection/>
    </xf>
    <xf numFmtId="49" fontId="3" fillId="0" borderId="0" xfId="57" applyNumberFormat="1" applyFont="1" applyBorder="1" applyAlignment="1">
      <alignment horizontal="left" vertical="top" wrapText="1"/>
      <protection/>
    </xf>
    <xf numFmtId="49" fontId="3" fillId="0" borderId="18" xfId="57" applyNumberFormat="1" applyFont="1" applyBorder="1" applyAlignment="1">
      <alignment horizontal="left" vertical="top" wrapText="1"/>
      <protection/>
    </xf>
    <xf numFmtId="172" fontId="3" fillId="0" borderId="12" xfId="57" applyNumberFormat="1" applyFont="1" applyBorder="1" applyAlignment="1">
      <alignment horizontal="right" vertical="top" wrapText="1"/>
      <protection/>
    </xf>
    <xf numFmtId="0" fontId="3" fillId="0" borderId="19" xfId="57" applyNumberFormat="1" applyFont="1" applyBorder="1" applyAlignment="1">
      <alignment horizontal="left" vertical="top" wrapText="1"/>
      <protection/>
    </xf>
    <xf numFmtId="0" fontId="3" fillId="0" borderId="0" xfId="57" applyNumberFormat="1" applyFont="1" applyBorder="1" applyAlignment="1">
      <alignment horizontal="right" wrapText="1"/>
      <protection/>
    </xf>
    <xf numFmtId="0" fontId="3" fillId="0" borderId="0" xfId="57" applyNumberFormat="1" applyFont="1" applyBorder="1" applyAlignment="1">
      <alignment horizontal="left" wrapText="1"/>
      <protection/>
    </xf>
    <xf numFmtId="0" fontId="3" fillId="0" borderId="0" xfId="57" applyNumberFormat="1" applyFont="1" applyBorder="1" applyAlignment="1">
      <alignment wrapText="1"/>
      <protection/>
    </xf>
    <xf numFmtId="2" fontId="3" fillId="0" borderId="0" xfId="57" applyNumberFormat="1" applyFont="1" applyBorder="1" applyAlignment="1">
      <alignment wrapText="1"/>
      <protection/>
    </xf>
    <xf numFmtId="49" fontId="3" fillId="0" borderId="0" xfId="57" applyNumberFormat="1" applyFont="1" applyBorder="1" applyAlignment="1">
      <alignment horizontal="left" wrapText="1"/>
      <protection/>
    </xf>
    <xf numFmtId="2" fontId="3" fillId="0" borderId="0" xfId="57" applyNumberFormat="1" applyFont="1" applyFill="1" applyBorder="1" applyAlignment="1">
      <alignment horizontal="left" wrapText="1"/>
      <protection/>
    </xf>
    <xf numFmtId="175" fontId="3" fillId="0" borderId="0" xfId="57" applyNumberFormat="1" applyFont="1" applyBorder="1" applyAlignment="1">
      <alignment wrapText="1"/>
      <protection/>
    </xf>
    <xf numFmtId="2" fontId="3" fillId="0" borderId="0" xfId="57" applyNumberFormat="1" applyFont="1" applyBorder="1" applyAlignment="1">
      <alignment horizontal="center" wrapText="1"/>
      <protection/>
    </xf>
    <xf numFmtId="49" fontId="3" fillId="0" borderId="19" xfId="57" applyNumberFormat="1" applyFont="1" applyFill="1" applyBorder="1" applyAlignment="1">
      <alignment vertical="top" wrapText="1"/>
      <protection/>
    </xf>
    <xf numFmtId="0" fontId="3" fillId="0" borderId="10" xfId="57" applyNumberFormat="1" applyFont="1" applyFill="1" applyBorder="1" applyAlignment="1">
      <alignment horizontal="left" vertical="top" wrapText="1"/>
      <protection/>
    </xf>
    <xf numFmtId="0" fontId="3" fillId="0" borderId="14" xfId="57" applyNumberFormat="1" applyFont="1" applyBorder="1" applyAlignment="1">
      <alignment vertical="top" wrapText="1"/>
      <protection/>
    </xf>
    <xf numFmtId="0" fontId="3" fillId="0" borderId="24" xfId="57" applyNumberFormat="1" applyFont="1" applyBorder="1" applyAlignment="1">
      <alignment vertical="top" wrapText="1"/>
      <protection/>
    </xf>
    <xf numFmtId="49" fontId="3" fillId="0" borderId="19" xfId="57" applyNumberFormat="1" applyFont="1" applyBorder="1" applyAlignment="1">
      <alignment horizontal="center" wrapText="1"/>
      <protection/>
    </xf>
    <xf numFmtId="0" fontId="3" fillId="0" borderId="19" xfId="58" applyNumberFormat="1" applyFont="1" applyBorder="1" applyAlignment="1">
      <alignment horizontal="left" vertical="top" wrapText="1"/>
      <protection/>
    </xf>
    <xf numFmtId="0" fontId="3" fillId="0" borderId="21" xfId="57" applyNumberFormat="1" applyFont="1" applyBorder="1" applyAlignment="1">
      <alignment horizontal="left" vertical="top" wrapText="1"/>
      <protection/>
    </xf>
    <xf numFmtId="49" fontId="3" fillId="0" borderId="21" xfId="57" applyNumberFormat="1" applyFont="1" applyBorder="1" applyAlignment="1">
      <alignment horizontal="left" vertical="top" wrapText="1"/>
      <protection/>
    </xf>
    <xf numFmtId="49" fontId="3" fillId="0" borderId="20" xfId="57" applyNumberFormat="1" applyFont="1" applyBorder="1" applyAlignment="1">
      <alignment horizontal="left" vertical="top" wrapText="1"/>
      <protection/>
    </xf>
    <xf numFmtId="172" fontId="3" fillId="0" borderId="19" xfId="57" applyNumberFormat="1" applyFont="1" applyBorder="1" applyAlignment="1">
      <alignment horizontal="right" vertical="top" wrapText="1"/>
      <protection/>
    </xf>
    <xf numFmtId="49" fontId="3" fillId="0" borderId="19" xfId="57" applyNumberFormat="1" applyFont="1" applyBorder="1" applyAlignment="1">
      <alignment horizontal="center" vertical="top" wrapText="1"/>
      <protection/>
    </xf>
    <xf numFmtId="49" fontId="3" fillId="0" borderId="19" xfId="57" applyNumberFormat="1" applyFont="1" applyBorder="1" applyAlignment="1">
      <alignment horizontal="left" vertical="top" wrapText="1"/>
      <protection/>
    </xf>
    <xf numFmtId="4" fontId="3" fillId="0" borderId="19" xfId="57" applyNumberFormat="1" applyFont="1" applyBorder="1" applyAlignment="1">
      <alignment horizontal="right" vertical="top" wrapText="1"/>
      <protection/>
    </xf>
    <xf numFmtId="49" fontId="3" fillId="0" borderId="17" xfId="57" applyNumberFormat="1" applyFont="1" applyBorder="1" applyAlignment="1">
      <alignment horizontal="left" vertical="top" wrapText="1"/>
      <protection/>
    </xf>
    <xf numFmtId="4" fontId="3" fillId="0" borderId="12" xfId="57" applyNumberFormat="1" applyFont="1" applyBorder="1" applyAlignment="1">
      <alignment horizontal="right" vertical="top" wrapText="1"/>
      <protection/>
    </xf>
    <xf numFmtId="4" fontId="3" fillId="0" borderId="10" xfId="0" applyNumberFormat="1" applyFont="1" applyBorder="1" applyAlignment="1">
      <alignment/>
    </xf>
    <xf numFmtId="49" fontId="3" fillId="0" borderId="10" xfId="57" applyNumberFormat="1" applyFont="1" applyBorder="1" applyAlignment="1">
      <alignment horizontal="center" vertical="top" wrapText="1"/>
      <protection/>
    </xf>
    <xf numFmtId="9" fontId="3" fillId="0" borderId="10" xfId="57" applyNumberFormat="1" applyFont="1" applyBorder="1" applyAlignment="1">
      <alignment horizontal="left" wrapText="1"/>
      <protection/>
    </xf>
    <xf numFmtId="0" fontId="3" fillId="0" borderId="11" xfId="57" applyNumberFormat="1" applyFont="1" applyBorder="1" applyAlignment="1">
      <alignment horizontal="left" vertical="top" wrapText="1" indent="1"/>
      <protection/>
    </xf>
    <xf numFmtId="4" fontId="3" fillId="0" borderId="19" xfId="0" applyNumberFormat="1" applyFont="1" applyBorder="1" applyAlignment="1">
      <alignment/>
    </xf>
    <xf numFmtId="0" fontId="53" fillId="0" borderId="0" xfId="66" applyFont="1" applyAlignment="1">
      <alignment/>
      <protection/>
    </xf>
    <xf numFmtId="0" fontId="53" fillId="0" borderId="0" xfId="66" applyFont="1">
      <alignment/>
      <protection/>
    </xf>
    <xf numFmtId="0" fontId="53" fillId="0" borderId="0" xfId="66" applyFont="1" applyFill="1" applyAlignment="1">
      <alignment/>
      <protection/>
    </xf>
    <xf numFmtId="0" fontId="3" fillId="0" borderId="15" xfId="58" applyFont="1" applyBorder="1" applyAlignment="1">
      <alignment horizontal="center" wrapText="1"/>
      <protection/>
    </xf>
    <xf numFmtId="0" fontId="3" fillId="0" borderId="17" xfId="58" applyFont="1" applyBorder="1" applyAlignment="1">
      <alignment horizontal="center" wrapText="1"/>
      <protection/>
    </xf>
    <xf numFmtId="0" fontId="3" fillId="0" borderId="17" xfId="58" applyFont="1" applyBorder="1" applyAlignment="1">
      <alignment vertical="top" wrapText="1"/>
      <protection/>
    </xf>
    <xf numFmtId="4" fontId="3" fillId="0" borderId="12" xfId="58" applyNumberFormat="1" applyFont="1" applyFill="1" applyBorder="1" applyAlignment="1">
      <alignment horizontal="center" wrapText="1"/>
      <protection/>
    </xf>
    <xf numFmtId="0" fontId="3" fillId="0" borderId="17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2" fontId="3" fillId="0" borderId="0" xfId="58" applyNumberFormat="1" applyFont="1">
      <alignment/>
      <protection/>
    </xf>
    <xf numFmtId="0" fontId="3" fillId="0" borderId="17" xfId="58" applyFont="1" applyBorder="1">
      <alignment/>
      <protection/>
    </xf>
    <xf numFmtId="0" fontId="3" fillId="0" borderId="0" xfId="58" applyFont="1" applyBorder="1">
      <alignment/>
      <protection/>
    </xf>
    <xf numFmtId="4" fontId="3" fillId="0" borderId="12" xfId="58" applyNumberFormat="1" applyFont="1" applyFill="1" applyBorder="1" applyAlignment="1">
      <alignment horizontal="center" vertical="center"/>
      <protection/>
    </xf>
    <xf numFmtId="0" fontId="3" fillId="0" borderId="19" xfId="58" applyFont="1" applyBorder="1" applyAlignment="1">
      <alignment vertical="top" wrapText="1"/>
      <protection/>
    </xf>
    <xf numFmtId="0" fontId="3" fillId="0" borderId="16" xfId="58" applyFont="1" applyBorder="1" applyAlignment="1">
      <alignment vertical="center" wrapText="1"/>
      <protection/>
    </xf>
    <xf numFmtId="0" fontId="12" fillId="0" borderId="16" xfId="58" applyFont="1" applyBorder="1" applyAlignment="1">
      <alignment vertical="center" wrapText="1"/>
      <protection/>
    </xf>
    <xf numFmtId="0" fontId="3" fillId="0" borderId="17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 wrapText="1"/>
      <protection/>
    </xf>
    <xf numFmtId="0" fontId="12" fillId="0" borderId="0" xfId="58" applyFont="1" applyBorder="1" applyAlignment="1">
      <alignment vertical="center" wrapText="1"/>
      <protection/>
    </xf>
    <xf numFmtId="0" fontId="3" fillId="0" borderId="13" xfId="58" applyFont="1" applyBorder="1" applyAlignment="1">
      <alignment horizontal="center" vertical="center"/>
      <protection/>
    </xf>
    <xf numFmtId="0" fontId="3" fillId="0" borderId="21" xfId="58" applyFont="1" applyBorder="1" applyAlignment="1">
      <alignment vertical="center" wrapText="1"/>
      <protection/>
    </xf>
    <xf numFmtId="0" fontId="6" fillId="0" borderId="21" xfId="58" applyFont="1" applyBorder="1" applyAlignment="1">
      <alignment vertical="center" wrapText="1"/>
      <protection/>
    </xf>
    <xf numFmtId="10" fontId="3" fillId="0" borderId="10" xfId="58" applyNumberFormat="1" applyFont="1" applyBorder="1" applyAlignment="1">
      <alignment vertical="center" wrapText="1"/>
      <protection/>
    </xf>
    <xf numFmtId="0" fontId="3" fillId="0" borderId="10" xfId="58" applyFont="1" applyBorder="1" applyAlignment="1">
      <alignment vertical="top" wrapText="1"/>
      <protection/>
    </xf>
    <xf numFmtId="9" fontId="3" fillId="0" borderId="24" xfId="58" applyNumberFormat="1" applyFont="1" applyBorder="1" applyAlignment="1">
      <alignment horizontal="center" vertical="center" wrapText="1"/>
      <protection/>
    </xf>
    <xf numFmtId="0" fontId="3" fillId="0" borderId="22" xfId="58" applyFont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2" fillId="0" borderId="11" xfId="58" applyFont="1" applyBorder="1" applyAlignment="1">
      <alignment vertical="center" wrapText="1"/>
      <protection/>
    </xf>
    <xf numFmtId="0" fontId="3" fillId="0" borderId="13" xfId="58" applyFont="1" applyFill="1" applyBorder="1" applyAlignment="1">
      <alignment horizontal="left" vertical="top" wrapText="1"/>
      <protection/>
    </xf>
    <xf numFmtId="0" fontId="3" fillId="0" borderId="21" xfId="58" applyFont="1" applyBorder="1" applyAlignment="1">
      <alignment horizontal="center" wrapText="1"/>
      <protection/>
    </xf>
    <xf numFmtId="0" fontId="3" fillId="0" borderId="23" xfId="58" applyFont="1" applyBorder="1">
      <alignment/>
      <protection/>
    </xf>
    <xf numFmtId="0" fontId="3" fillId="0" borderId="17" xfId="58" applyFont="1" applyBorder="1" applyAlignment="1">
      <alignment horizontal="left" vertical="top" wrapText="1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0" borderId="18" xfId="58" applyFont="1" applyBorder="1">
      <alignment/>
      <protection/>
    </xf>
    <xf numFmtId="0" fontId="4" fillId="0" borderId="18" xfId="58" applyFont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0" xfId="58" applyFont="1" applyBorder="1">
      <alignment/>
      <protection/>
    </xf>
    <xf numFmtId="2" fontId="3" fillId="0" borderId="10" xfId="57" applyNumberFormat="1" applyFont="1" applyBorder="1" applyAlignment="1">
      <alignment vertical="top"/>
      <protection/>
    </xf>
    <xf numFmtId="190" fontId="3" fillId="0" borderId="14" xfId="57" applyNumberFormat="1" applyFont="1" applyBorder="1" applyAlignment="1">
      <alignment vertical="top"/>
      <protection/>
    </xf>
    <xf numFmtId="190" fontId="3" fillId="0" borderId="11" xfId="57" applyNumberFormat="1" applyFont="1" applyBorder="1" applyAlignment="1">
      <alignment vertical="top"/>
      <protection/>
    </xf>
    <xf numFmtId="0" fontId="3" fillId="0" borderId="14" xfId="58" applyFont="1" applyBorder="1">
      <alignment/>
      <protection/>
    </xf>
    <xf numFmtId="0" fontId="3" fillId="0" borderId="0" xfId="58" applyFont="1" applyAlignment="1">
      <alignment horizontal="center" vertical="center"/>
      <protection/>
    </xf>
    <xf numFmtId="0" fontId="7" fillId="0" borderId="0" xfId="67" applyFont="1" applyAlignment="1" applyProtection="1">
      <alignment wrapText="1"/>
      <protection locked="0"/>
    </xf>
    <xf numFmtId="0" fontId="3" fillId="0" borderId="0" xfId="58" applyFont="1" applyAlignment="1">
      <alignment/>
      <protection/>
    </xf>
    <xf numFmtId="0" fontId="4" fillId="0" borderId="0" xfId="54" applyFont="1" applyAlignment="1">
      <alignment/>
      <protection/>
    </xf>
    <xf numFmtId="0" fontId="3" fillId="0" borderId="0" xfId="54" applyFont="1" applyAlignme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horizontal="left"/>
      <protection/>
    </xf>
    <xf numFmtId="0" fontId="6" fillId="0" borderId="10" xfId="57" applyFont="1" applyBorder="1" applyAlignment="1">
      <alignment horizontal="center" vertical="top" wrapText="1"/>
      <protection/>
    </xf>
    <xf numFmtId="1" fontId="6" fillId="0" borderId="10" xfId="57" applyNumberFormat="1" applyFont="1" applyBorder="1" applyAlignment="1">
      <alignment horizontal="center" vertical="top" wrapText="1"/>
      <protection/>
    </xf>
    <xf numFmtId="0" fontId="6" fillId="0" borderId="0" xfId="57" applyFont="1">
      <alignment/>
      <protection/>
    </xf>
    <xf numFmtId="175" fontId="3" fillId="0" borderId="22" xfId="57" applyNumberFormat="1" applyFont="1" applyBorder="1" applyAlignment="1">
      <alignment horizontal="right" wrapText="1"/>
      <protection/>
    </xf>
    <xf numFmtId="2" fontId="3" fillId="0" borderId="16" xfId="57" applyNumberFormat="1" applyFont="1" applyBorder="1" applyAlignment="1">
      <alignment wrapText="1"/>
      <protection/>
    </xf>
    <xf numFmtId="0" fontId="3" fillId="0" borderId="0" xfId="57" applyFont="1" applyAlignment="1">
      <alignment wrapText="1"/>
      <protection/>
    </xf>
    <xf numFmtId="0" fontId="3" fillId="0" borderId="21" xfId="57" applyFont="1" applyBorder="1" applyAlignment="1">
      <alignment wrapText="1"/>
      <protection/>
    </xf>
    <xf numFmtId="0" fontId="3" fillId="0" borderId="11" xfId="57" applyFont="1" applyBorder="1" applyAlignment="1">
      <alignment vertical="top" wrapText="1"/>
      <protection/>
    </xf>
    <xf numFmtId="2" fontId="4" fillId="0" borderId="15" xfId="57" applyNumberFormat="1" applyFont="1" applyBorder="1" applyAlignment="1">
      <alignment horizontal="center" vertical="center"/>
      <protection/>
    </xf>
    <xf numFmtId="0" fontId="3" fillId="0" borderId="22" xfId="57" applyFont="1" applyBorder="1" applyAlignment="1">
      <alignment horizontal="center" vertical="center" wrapText="1"/>
      <protection/>
    </xf>
    <xf numFmtId="0" fontId="3" fillId="0" borderId="0" xfId="57" applyFont="1" applyAlignment="1">
      <alignment vertical="top" wrapText="1"/>
      <protection/>
    </xf>
    <xf numFmtId="0" fontId="7" fillId="34" borderId="25" xfId="54" applyFont="1" applyFill="1" applyBorder="1" applyAlignment="1">
      <alignment horizontal="left" vertical="center"/>
      <protection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 applyProtection="1">
      <alignment horizontal="center" vertical="center" wrapText="1"/>
      <protection locked="0"/>
    </xf>
    <xf numFmtId="0" fontId="4" fillId="0" borderId="10" xfId="54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20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14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14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207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57" applyNumberFormat="1" applyFont="1" applyBorder="1" applyAlignment="1">
      <alignment horizontal="center" wrapText="1"/>
      <protection/>
    </xf>
    <xf numFmtId="0" fontId="3" fillId="0" borderId="13" xfId="57" applyNumberFormat="1" applyFont="1" applyBorder="1" applyAlignment="1">
      <alignment horizontal="center" vertical="top" wrapText="1"/>
      <protection/>
    </xf>
    <xf numFmtId="0" fontId="3" fillId="0" borderId="21" xfId="57" applyNumberFormat="1" applyFont="1" applyBorder="1" applyAlignment="1">
      <alignment horizontal="center" vertical="top" wrapText="1"/>
      <protection/>
    </xf>
    <xf numFmtId="0" fontId="3" fillId="0" borderId="20" xfId="57" applyNumberFormat="1" applyFont="1" applyBorder="1" applyAlignment="1">
      <alignment horizontal="center" vertical="top" wrapText="1"/>
      <protection/>
    </xf>
    <xf numFmtId="0" fontId="3" fillId="0" borderId="14" xfId="58" applyNumberFormat="1" applyFont="1" applyBorder="1" applyAlignment="1">
      <alignment horizontal="center" vertical="top" wrapText="1"/>
      <protection/>
    </xf>
    <xf numFmtId="0" fontId="3" fillId="0" borderId="24" xfId="58" applyNumberFormat="1" applyFont="1" applyBorder="1" applyAlignment="1">
      <alignment horizontal="center" vertical="top" wrapText="1"/>
      <protection/>
    </xf>
    <xf numFmtId="49" fontId="3" fillId="0" borderId="24" xfId="57" applyNumberFormat="1" applyFont="1" applyBorder="1" applyAlignment="1">
      <alignment horizontal="center" vertical="center" wrapText="1"/>
      <protection/>
    </xf>
    <xf numFmtId="49" fontId="3" fillId="0" borderId="14" xfId="57" applyNumberFormat="1" applyFont="1" applyBorder="1" applyAlignment="1">
      <alignment horizontal="center" wrapText="1"/>
      <protection/>
    </xf>
    <xf numFmtId="49" fontId="3" fillId="0" borderId="24" xfId="57" applyNumberFormat="1" applyFont="1" applyBorder="1" applyAlignment="1">
      <alignment horizontal="center" wrapText="1"/>
      <protection/>
    </xf>
    <xf numFmtId="49" fontId="3" fillId="0" borderId="14" xfId="57" applyNumberFormat="1" applyFont="1" applyBorder="1" applyAlignment="1">
      <alignment horizontal="left" wrapText="1"/>
      <protection/>
    </xf>
    <xf numFmtId="49" fontId="3" fillId="0" borderId="24" xfId="57" applyNumberFormat="1" applyFont="1" applyBorder="1" applyAlignment="1">
      <alignment horizontal="left" wrapText="1"/>
      <protection/>
    </xf>
    <xf numFmtId="4" fontId="3" fillId="0" borderId="22" xfId="57" applyNumberFormat="1" applyFont="1" applyBorder="1" applyAlignment="1">
      <alignment horizontal="center" wrapText="1"/>
      <protection/>
    </xf>
    <xf numFmtId="4" fontId="3" fillId="0" borderId="16" xfId="57" applyNumberFormat="1" applyFont="1" applyBorder="1" applyAlignment="1">
      <alignment horizontal="center" wrapText="1"/>
      <protection/>
    </xf>
    <xf numFmtId="49" fontId="3" fillId="0" borderId="11" xfId="57" applyNumberFormat="1" applyFont="1" applyBorder="1" applyAlignment="1">
      <alignment horizontal="center" wrapText="1"/>
      <protection/>
    </xf>
    <xf numFmtId="49" fontId="3" fillId="0" borderId="22" xfId="57" applyNumberFormat="1" applyFont="1" applyBorder="1" applyAlignment="1">
      <alignment horizontal="left" wrapText="1"/>
      <protection/>
    </xf>
    <xf numFmtId="49" fontId="3" fillId="0" borderId="23" xfId="57" applyNumberFormat="1" applyFont="1" applyBorder="1" applyAlignment="1">
      <alignment horizontal="left" wrapText="1"/>
      <protection/>
    </xf>
    <xf numFmtId="0" fontId="3" fillId="0" borderId="14" xfId="57" applyNumberFormat="1" applyFont="1" applyBorder="1" applyAlignment="1">
      <alignment horizontal="left" vertical="top" wrapText="1"/>
      <protection/>
    </xf>
    <xf numFmtId="0" fontId="3" fillId="0" borderId="24" xfId="57" applyNumberFormat="1" applyFont="1" applyBorder="1" applyAlignment="1">
      <alignment horizontal="left" vertical="top" wrapText="1"/>
      <protection/>
    </xf>
    <xf numFmtId="0" fontId="3" fillId="0" borderId="17" xfId="57" applyNumberFormat="1" applyFont="1" applyBorder="1" applyAlignment="1">
      <alignment horizontal="center" vertical="top" wrapText="1"/>
      <protection/>
    </xf>
    <xf numFmtId="0" fontId="3" fillId="0" borderId="0" xfId="57" applyNumberFormat="1" applyFont="1" applyBorder="1" applyAlignment="1">
      <alignment horizontal="center" vertical="top" wrapText="1"/>
      <protection/>
    </xf>
    <xf numFmtId="0" fontId="3" fillId="0" borderId="18" xfId="57" applyNumberFormat="1" applyFont="1" applyBorder="1" applyAlignment="1">
      <alignment horizontal="center" vertical="top" wrapText="1"/>
      <protection/>
    </xf>
    <xf numFmtId="49" fontId="4" fillId="0" borderId="21" xfId="57" applyNumberFormat="1" applyFont="1" applyFill="1" applyBorder="1" applyAlignment="1">
      <alignment horizontal="left" vertical="top" wrapText="1"/>
      <protection/>
    </xf>
    <xf numFmtId="0" fontId="4" fillId="0" borderId="14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2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right" vertical="center"/>
      <protection/>
    </xf>
    <xf numFmtId="0" fontId="3" fillId="0" borderId="24" xfId="58" applyFont="1" applyBorder="1" applyAlignment="1">
      <alignment horizontal="right" vertical="center"/>
      <protection/>
    </xf>
    <xf numFmtId="1" fontId="3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/>
      <protection/>
    </xf>
    <xf numFmtId="0" fontId="3" fillId="0" borderId="14" xfId="58" applyFont="1" applyBorder="1" applyAlignment="1">
      <alignment horizontal="left" vertical="top" wrapText="1"/>
      <protection/>
    </xf>
    <xf numFmtId="0" fontId="3" fillId="0" borderId="24" xfId="58" applyFont="1" applyBorder="1" applyAlignment="1">
      <alignment horizontal="left" vertical="top" wrapText="1"/>
      <protection/>
    </xf>
    <xf numFmtId="2" fontId="3" fillId="0" borderId="14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0" fontId="3" fillId="0" borderId="22" xfId="58" applyFont="1" applyBorder="1" applyAlignment="1">
      <alignment horizontal="center" wrapText="1"/>
      <protection/>
    </xf>
    <xf numFmtId="0" fontId="3" fillId="0" borderId="16" xfId="58" applyFont="1" applyBorder="1" applyAlignment="1">
      <alignment horizontal="center" wrapText="1"/>
      <protection/>
    </xf>
    <xf numFmtId="0" fontId="4" fillId="0" borderId="14" xfId="58" applyFont="1" applyBorder="1" applyAlignment="1">
      <alignment horizontal="center" wrapText="1"/>
      <protection/>
    </xf>
    <xf numFmtId="0" fontId="4" fillId="0" borderId="11" xfId="58" applyFont="1" applyBorder="1" applyAlignment="1">
      <alignment horizontal="center" wrapText="1"/>
      <protection/>
    </xf>
    <xf numFmtId="0" fontId="4" fillId="0" borderId="24" xfId="58" applyFont="1" applyBorder="1" applyAlignment="1">
      <alignment horizont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2" xfId="58" applyFont="1" applyBorder="1" applyAlignment="1">
      <alignment horizontal="center"/>
      <protection/>
    </xf>
    <xf numFmtId="0" fontId="3" fillId="0" borderId="15" xfId="58" applyFont="1" applyFill="1" applyBorder="1" applyAlignment="1">
      <alignment horizontal="left" vertical="center" wrapText="1"/>
      <protection/>
    </xf>
    <xf numFmtId="0" fontId="3" fillId="0" borderId="12" xfId="58" applyFont="1" applyFill="1" applyBorder="1" applyAlignment="1">
      <alignment horizontal="left" vertical="center" wrapText="1"/>
      <protection/>
    </xf>
    <xf numFmtId="0" fontId="3" fillId="0" borderId="17" xfId="58" applyFont="1" applyBorder="1" applyAlignment="1">
      <alignment vertical="top" wrapText="1"/>
      <protection/>
    </xf>
    <xf numFmtId="0" fontId="3" fillId="0" borderId="17" xfId="58" applyFont="1" applyFill="1" applyBorder="1" applyAlignment="1">
      <alignment horizontal="center" wrapText="1"/>
      <protection/>
    </xf>
    <xf numFmtId="0" fontId="3" fillId="0" borderId="0" xfId="58" applyFont="1" applyFill="1" applyBorder="1" applyAlignment="1">
      <alignment horizontal="center" wrapText="1"/>
      <protection/>
    </xf>
    <xf numFmtId="0" fontId="3" fillId="0" borderId="17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22" xfId="58" applyFont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15" xfId="58" applyFont="1" applyBorder="1" applyAlignment="1">
      <alignment horizontal="center" vertical="center" wrapText="1"/>
      <protection/>
    </xf>
    <xf numFmtId="0" fontId="3" fillId="0" borderId="19" xfId="58" applyFont="1" applyBorder="1" applyAlignment="1">
      <alignment horizontal="center" vertical="center" wrapText="1"/>
      <protection/>
    </xf>
    <xf numFmtId="0" fontId="54" fillId="0" borderId="14" xfId="58" applyFont="1" applyBorder="1" applyAlignment="1">
      <alignment horizontal="left" vertical="center" wrapText="1"/>
      <protection/>
    </xf>
    <xf numFmtId="0" fontId="54" fillId="0" borderId="11" xfId="58" applyFont="1" applyBorder="1" applyAlignment="1">
      <alignment horizontal="left" vertical="center" wrapText="1"/>
      <protection/>
    </xf>
    <xf numFmtId="2" fontId="53" fillId="0" borderId="13" xfId="58" applyNumberFormat="1" applyFont="1" applyFill="1" applyBorder="1" applyAlignment="1">
      <alignment horizontal="right" vertical="center"/>
      <protection/>
    </xf>
    <xf numFmtId="2" fontId="53" fillId="0" borderId="21" xfId="58" applyNumberFormat="1" applyFont="1" applyFill="1" applyBorder="1" applyAlignment="1">
      <alignment horizontal="right" vertical="center"/>
      <protection/>
    </xf>
    <xf numFmtId="0" fontId="54" fillId="0" borderId="10" xfId="58" applyFont="1" applyBorder="1" applyAlignment="1">
      <alignment horizontal="left" vertical="center" wrapText="1"/>
      <protection/>
    </xf>
    <xf numFmtId="0" fontId="54" fillId="0" borderId="19" xfId="58" applyFont="1" applyBorder="1" applyAlignment="1">
      <alignment horizontal="center" vertical="center" wrapText="1"/>
      <protection/>
    </xf>
    <xf numFmtId="0" fontId="54" fillId="0" borderId="12" xfId="58" applyFont="1" applyBorder="1" applyAlignment="1">
      <alignment horizontal="center" vertical="center" wrapText="1"/>
      <protection/>
    </xf>
    <xf numFmtId="0" fontId="53" fillId="0" borderId="14" xfId="58" applyFont="1" applyBorder="1" applyAlignment="1">
      <alignment horizontal="right" vertical="center" wrapText="1"/>
      <protection/>
    </xf>
    <xf numFmtId="0" fontId="53" fillId="0" borderId="11" xfId="58" applyFont="1" applyBorder="1" applyAlignment="1">
      <alignment horizontal="right" vertical="center" wrapText="1"/>
      <protection/>
    </xf>
    <xf numFmtId="0" fontId="53" fillId="0" borderId="24" xfId="58" applyFont="1" applyBorder="1" applyAlignment="1">
      <alignment horizontal="right" vertical="center" wrapText="1"/>
      <protection/>
    </xf>
    <xf numFmtId="2" fontId="53" fillId="0" borderId="13" xfId="58" applyNumberFormat="1" applyFont="1" applyFill="1" applyBorder="1" applyAlignment="1">
      <alignment horizontal="right" vertical="center" wrapText="1"/>
      <protection/>
    </xf>
    <xf numFmtId="2" fontId="53" fillId="0" borderId="21" xfId="58" applyNumberFormat="1" applyFont="1" applyFill="1" applyBorder="1" applyAlignment="1">
      <alignment horizontal="right" vertical="center" wrapText="1"/>
      <protection/>
    </xf>
    <xf numFmtId="0" fontId="54" fillId="0" borderId="10" xfId="58" applyFont="1" applyFill="1" applyBorder="1" applyAlignment="1">
      <alignment horizontal="left" vertical="center" wrapText="1"/>
      <protection/>
    </xf>
    <xf numFmtId="0" fontId="54" fillId="0" borderId="14" xfId="58" applyFont="1" applyFill="1" applyBorder="1" applyAlignment="1">
      <alignment horizontal="left" vertical="center" wrapText="1"/>
      <protection/>
    </xf>
    <xf numFmtId="0" fontId="54" fillId="0" borderId="10" xfId="58" applyFont="1" applyBorder="1" applyAlignment="1">
      <alignment horizontal="center" vertical="center" wrapText="1"/>
      <protection/>
    </xf>
    <xf numFmtId="0" fontId="53" fillId="0" borderId="16" xfId="58" applyFont="1" applyBorder="1" applyAlignment="1">
      <alignment horizontal="left" vertical="center" wrapText="1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left" vertical="center" wrapText="1"/>
      <protection/>
    </xf>
    <xf numFmtId="0" fontId="53" fillId="0" borderId="10" xfId="58" applyFont="1" applyBorder="1" applyAlignment="1">
      <alignment wrapText="1"/>
      <protection/>
    </xf>
    <xf numFmtId="0" fontId="54" fillId="0" borderId="15" xfId="58" applyFont="1" applyBorder="1" applyAlignment="1">
      <alignment horizontal="center" vertical="center" wrapText="1"/>
      <protection/>
    </xf>
    <xf numFmtId="0" fontId="53" fillId="0" borderId="15" xfId="58" applyFont="1" applyBorder="1" applyAlignment="1">
      <alignment wrapText="1"/>
      <protection/>
    </xf>
    <xf numFmtId="2" fontId="53" fillId="0" borderId="14" xfId="58" applyNumberFormat="1" applyFont="1" applyFill="1" applyBorder="1" applyAlignment="1">
      <alignment horizontal="right" vertical="center" wrapText="1"/>
      <protection/>
    </xf>
    <xf numFmtId="2" fontId="53" fillId="0" borderId="11" xfId="58" applyNumberFormat="1" applyFont="1" applyFill="1" applyBorder="1" applyAlignment="1">
      <alignment horizontal="right" vertical="center" wrapText="1"/>
      <protection/>
    </xf>
    <xf numFmtId="0" fontId="4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54" fillId="0" borderId="22" xfId="58" applyFont="1" applyBorder="1" applyAlignment="1">
      <alignment horizontal="center" vertical="center" wrapText="1"/>
      <protection/>
    </xf>
    <xf numFmtId="0" fontId="54" fillId="0" borderId="16" xfId="58" applyFont="1" applyBorder="1" applyAlignment="1">
      <alignment horizontal="center" vertical="center" wrapText="1"/>
      <protection/>
    </xf>
    <xf numFmtId="0" fontId="54" fillId="0" borderId="23" xfId="58" applyFont="1" applyBorder="1" applyAlignment="1">
      <alignment horizontal="center" vertical="center" wrapText="1"/>
      <protection/>
    </xf>
    <xf numFmtId="0" fontId="54" fillId="0" borderId="17" xfId="58" applyFont="1" applyBorder="1" applyAlignment="1">
      <alignment horizontal="center" vertical="center" wrapText="1"/>
      <protection/>
    </xf>
    <xf numFmtId="0" fontId="54" fillId="0" borderId="0" xfId="58" applyFont="1" applyBorder="1" applyAlignment="1">
      <alignment horizontal="center" vertical="center" wrapText="1"/>
      <protection/>
    </xf>
    <xf numFmtId="0" fontId="54" fillId="0" borderId="18" xfId="58" applyFont="1" applyBorder="1" applyAlignment="1">
      <alignment horizontal="center" vertical="center" wrapText="1"/>
      <protection/>
    </xf>
    <xf numFmtId="0" fontId="54" fillId="0" borderId="13" xfId="58" applyFont="1" applyBorder="1" applyAlignment="1">
      <alignment horizontal="center" vertical="center" wrapText="1"/>
      <protection/>
    </xf>
    <xf numFmtId="0" fontId="54" fillId="0" borderId="21" xfId="58" applyFont="1" applyBorder="1" applyAlignment="1">
      <alignment horizontal="center" vertical="center" wrapText="1"/>
      <protection/>
    </xf>
    <xf numFmtId="0" fontId="54" fillId="0" borderId="20" xfId="58" applyFont="1" applyBorder="1" applyAlignment="1">
      <alignment horizontal="center" vertical="center" wrapText="1"/>
      <protection/>
    </xf>
    <xf numFmtId="0" fontId="53" fillId="0" borderId="0" xfId="58" applyFont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Alignment="1" applyProtection="1">
      <alignment horizontal="center" wrapText="1"/>
      <protection locked="0"/>
    </xf>
    <xf numFmtId="0" fontId="7" fillId="0" borderId="0" xfId="67" applyFont="1" applyAlignment="1" applyProtection="1">
      <alignment horizontal="center" wrapText="1"/>
      <protection locked="0"/>
    </xf>
    <xf numFmtId="0" fontId="53" fillId="0" borderId="0" xfId="58" applyFont="1" applyAlignment="1">
      <alignment horizontal="left" wrapText="1"/>
      <protection/>
    </xf>
    <xf numFmtId="0" fontId="4" fillId="0" borderId="21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12" xfId="57" applyFont="1" applyBorder="1" applyAlignment="1">
      <alignment horizontal="center" vertical="top" wrapText="1"/>
      <protection/>
    </xf>
    <xf numFmtId="0" fontId="3" fillId="0" borderId="24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19" xfId="57" applyFont="1" applyBorder="1" applyAlignment="1">
      <alignment horizontal="center" vertical="top" wrapText="1"/>
      <protection/>
    </xf>
    <xf numFmtId="0" fontId="6" fillId="0" borderId="14" xfId="57" applyFont="1" applyBorder="1" applyAlignment="1">
      <alignment horizontal="left" vertical="top" wrapText="1"/>
      <protection/>
    </xf>
    <xf numFmtId="0" fontId="6" fillId="0" borderId="11" xfId="57" applyFont="1" applyBorder="1" applyAlignment="1">
      <alignment horizontal="left" vertical="top" wrapText="1"/>
      <protection/>
    </xf>
    <xf numFmtId="0" fontId="6" fillId="0" borderId="22" xfId="57" applyFont="1" applyBorder="1" applyAlignment="1">
      <alignment horizontal="left" vertical="top" wrapText="1"/>
      <protection/>
    </xf>
    <xf numFmtId="0" fontId="6" fillId="0" borderId="16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left" vertical="top" wrapText="1"/>
      <protection/>
    </xf>
    <xf numFmtId="0" fontId="3" fillId="0" borderId="15" xfId="57" applyFont="1" applyBorder="1" applyAlignment="1">
      <alignment horizontal="left" vertical="top" wrapText="1"/>
      <protection/>
    </xf>
    <xf numFmtId="0" fontId="3" fillId="0" borderId="19" xfId="57" applyFont="1" applyBorder="1" applyAlignment="1">
      <alignment horizontal="left" vertical="top" wrapText="1"/>
      <protection/>
    </xf>
    <xf numFmtId="0" fontId="3" fillId="0" borderId="22" xfId="57" applyFont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49" fontId="4" fillId="0" borderId="0" xfId="57" applyNumberFormat="1" applyFont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 wrapText="1"/>
      <protection/>
    </xf>
    <xf numFmtId="2" fontId="3" fillId="0" borderId="12" xfId="57" applyNumberFormat="1" applyFont="1" applyBorder="1" applyAlignment="1">
      <alignment horizontal="center" wrapText="1"/>
      <protection/>
    </xf>
    <xf numFmtId="0" fontId="3" fillId="0" borderId="17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2" fontId="3" fillId="0" borderId="19" xfId="57" applyNumberFormat="1" applyFont="1" applyBorder="1" applyAlignment="1">
      <alignment horizontal="center" wrapText="1"/>
      <protection/>
    </xf>
    <xf numFmtId="2" fontId="3" fillId="0" borderId="15" xfId="57" applyNumberFormat="1" applyFont="1" applyBorder="1" applyAlignment="1">
      <alignment horizontal="center" vertical="top" wrapText="1"/>
      <protection/>
    </xf>
    <xf numFmtId="2" fontId="3" fillId="0" borderId="12" xfId="57" applyNumberFormat="1" applyFont="1" applyBorder="1" applyAlignment="1">
      <alignment horizontal="center" vertical="top" wrapText="1"/>
      <protection/>
    </xf>
    <xf numFmtId="0" fontId="4" fillId="0" borderId="14" xfId="57" applyFont="1" applyBorder="1" applyAlignment="1">
      <alignment horizontal="left" vertical="top" wrapText="1"/>
      <protection/>
    </xf>
    <xf numFmtId="0" fontId="4" fillId="0" borderId="11" xfId="57" applyFont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 applyAlignment="1">
      <alignment horizontal="left" vertical="top" wrapText="1"/>
      <protection/>
    </xf>
    <xf numFmtId="0" fontId="3" fillId="0" borderId="15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left" wrapText="1"/>
      <protection/>
    </xf>
    <xf numFmtId="0" fontId="3" fillId="0" borderId="19" xfId="57" applyFont="1" applyBorder="1" applyAlignment="1">
      <alignment horizontal="left" wrapText="1"/>
      <protection/>
    </xf>
    <xf numFmtId="0" fontId="3" fillId="0" borderId="14" xfId="57" applyFont="1" applyBorder="1" applyAlignment="1">
      <alignment wrapText="1"/>
      <protection/>
    </xf>
    <xf numFmtId="0" fontId="3" fillId="0" borderId="11" xfId="57" applyFont="1" applyBorder="1" applyAlignment="1">
      <alignment wrapText="1"/>
      <protection/>
    </xf>
    <xf numFmtId="0" fontId="3" fillId="0" borderId="14" xfId="57" applyFont="1" applyBorder="1" applyAlignment="1">
      <alignment horizontal="left" vertical="center" indent="2"/>
      <protection/>
    </xf>
    <xf numFmtId="0" fontId="3" fillId="0" borderId="11" xfId="57" applyFont="1" applyBorder="1" applyAlignment="1">
      <alignment horizontal="left" vertical="center" indent="2"/>
      <protection/>
    </xf>
    <xf numFmtId="0" fontId="3" fillId="0" borderId="13" xfId="57" applyFont="1" applyBorder="1" applyAlignment="1">
      <alignment horizontal="left" vertical="center" indent="2"/>
      <protection/>
    </xf>
    <xf numFmtId="0" fontId="3" fillId="0" borderId="21" xfId="57" applyFont="1" applyBorder="1" applyAlignment="1">
      <alignment horizontal="left" vertical="center" indent="2"/>
      <protection/>
    </xf>
    <xf numFmtId="0" fontId="3" fillId="0" borderId="11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top" wrapText="1"/>
      <protection/>
    </xf>
    <xf numFmtId="0" fontId="6" fillId="0" borderId="24" xfId="57" applyFont="1" applyBorder="1" applyAlignment="1">
      <alignment horizontal="center" vertical="top" wrapText="1"/>
      <protection/>
    </xf>
    <xf numFmtId="0" fontId="3" fillId="0" borderId="23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left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left" vertical="center" wrapText="1"/>
      <protection/>
    </xf>
    <xf numFmtId="0" fontId="3" fillId="0" borderId="0" xfId="57" applyFont="1" applyAlignment="1">
      <alignment horizontal="left" vertical="center"/>
      <protection/>
    </xf>
    <xf numFmtId="49" fontId="3" fillId="0" borderId="0" xfId="57" applyNumberFormat="1" applyFont="1" applyAlignment="1">
      <alignment horizontal="center" wrapText="1"/>
      <protection/>
    </xf>
    <xf numFmtId="0" fontId="6" fillId="0" borderId="11" xfId="57" applyFont="1" applyBorder="1" applyAlignment="1">
      <alignment horizontal="center" vertical="top" wrapText="1"/>
      <protection/>
    </xf>
    <xf numFmtId="0" fontId="6" fillId="0" borderId="21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4" fontId="3" fillId="0" borderId="13" xfId="57" applyNumberFormat="1" applyFont="1" applyBorder="1" applyAlignment="1">
      <alignment horizontal="right" vertical="center" wrapText="1"/>
      <protection/>
    </xf>
    <xf numFmtId="4" fontId="3" fillId="0" borderId="21" xfId="57" applyNumberFormat="1" applyFont="1" applyBorder="1" applyAlignment="1">
      <alignment horizontal="right" vertical="center" wrapText="1"/>
      <protection/>
    </xf>
    <xf numFmtId="0" fontId="3" fillId="0" borderId="14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0" fontId="3" fillId="0" borderId="14" xfId="63" applyFont="1" applyBorder="1" applyAlignment="1">
      <alignment horizontal="center" wrapText="1"/>
      <protection/>
    </xf>
    <xf numFmtId="0" fontId="3" fillId="0" borderId="11" xfId="63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left" wrapText="1"/>
      <protection/>
    </xf>
    <xf numFmtId="0" fontId="4" fillId="0" borderId="11" xfId="57" applyFont="1" applyBorder="1" applyAlignment="1">
      <alignment horizontal="left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vertical="center" wrapText="1"/>
      <protection/>
    </xf>
    <xf numFmtId="0" fontId="3" fillId="0" borderId="19" xfId="63" applyFont="1" applyBorder="1" applyAlignment="1">
      <alignment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0" xfId="57" applyFont="1" applyAlignment="1">
      <alignment horizontal="center" wrapText="1"/>
      <protection/>
    </xf>
    <xf numFmtId="49" fontId="3" fillId="0" borderId="0" xfId="57" applyNumberFormat="1" applyFont="1" applyAlignment="1">
      <alignment horizontal="left" wrapText="1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Обычный_Обоснование цены договора (ЗСО ВЗ№2)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[0] 2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6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14.1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255" width="10.25390625" style="3" customWidth="1"/>
    <col min="256" max="16384" width="14.125" style="3" customWidth="1"/>
  </cols>
  <sheetData>
    <row r="1" spans="5:6" ht="17.25" customHeight="1">
      <c r="E1" s="480" t="s">
        <v>256</v>
      </c>
      <c r="F1" s="480"/>
    </row>
    <row r="2" spans="5:6" ht="13.5" customHeight="1">
      <c r="E2" s="479" t="s">
        <v>257</v>
      </c>
      <c r="F2" s="479"/>
    </row>
    <row r="3" spans="5:6" ht="15" customHeight="1">
      <c r="E3" s="479" t="s">
        <v>258</v>
      </c>
      <c r="F3" s="479"/>
    </row>
    <row r="4" spans="5:6" ht="21.75" customHeight="1">
      <c r="E4" s="479" t="s">
        <v>259</v>
      </c>
      <c r="F4" s="479"/>
    </row>
    <row r="5" spans="5:6" ht="19.5" customHeight="1">
      <c r="E5" s="479" t="s">
        <v>260</v>
      </c>
      <c r="F5" s="479"/>
    </row>
    <row r="6" spans="5:6" ht="12.75">
      <c r="E6" s="479"/>
      <c r="F6" s="479"/>
    </row>
    <row r="7" spans="5:6" ht="12.75">
      <c r="E7" s="479"/>
      <c r="F7" s="479"/>
    </row>
    <row r="8" spans="1:6" ht="12.75">
      <c r="A8" s="484" t="s">
        <v>4</v>
      </c>
      <c r="B8" s="484"/>
      <c r="C8" s="484"/>
      <c r="D8" s="484"/>
      <c r="E8" s="484"/>
      <c r="F8" s="484"/>
    </row>
    <row r="9" spans="1:6" ht="12.75">
      <c r="A9" s="348"/>
      <c r="B9" s="348"/>
      <c r="C9" s="348"/>
      <c r="D9" s="348"/>
      <c r="E9" s="348"/>
      <c r="F9" s="348"/>
    </row>
    <row r="10" spans="1:10" ht="18" customHeight="1">
      <c r="A10" s="485" t="s">
        <v>288</v>
      </c>
      <c r="B10" s="485"/>
      <c r="C10" s="485"/>
      <c r="D10" s="485"/>
      <c r="E10" s="485"/>
      <c r="F10" s="485"/>
      <c r="G10" s="17"/>
      <c r="H10" s="16"/>
      <c r="I10" s="17"/>
      <c r="J10" s="16"/>
    </row>
    <row r="11" spans="1:10" ht="13.5" customHeight="1">
      <c r="A11" s="478" t="s">
        <v>261</v>
      </c>
      <c r="B11" s="478"/>
      <c r="C11" s="478"/>
      <c r="D11" s="478"/>
      <c r="E11" s="478"/>
      <c r="F11" s="478"/>
      <c r="G11" s="17"/>
      <c r="H11" s="16"/>
      <c r="I11" s="17"/>
      <c r="J11" s="16"/>
    </row>
    <row r="12" spans="1:10" ht="13.5" customHeight="1">
      <c r="A12" s="478" t="s">
        <v>262</v>
      </c>
      <c r="B12" s="478"/>
      <c r="C12" s="478"/>
      <c r="D12" s="478"/>
      <c r="E12" s="478"/>
      <c r="F12" s="478"/>
      <c r="G12" s="17"/>
      <c r="H12" s="16"/>
      <c r="I12" s="17"/>
      <c r="J12" s="16"/>
    </row>
    <row r="13" spans="1:10" ht="13.5" customHeight="1">
      <c r="A13" s="359"/>
      <c r="B13" s="359"/>
      <c r="C13" s="359"/>
      <c r="D13" s="359"/>
      <c r="E13" s="359"/>
      <c r="F13" s="359"/>
      <c r="G13" s="17"/>
      <c r="H13" s="16"/>
      <c r="I13" s="17"/>
      <c r="J13" s="16"/>
    </row>
    <row r="14" spans="1:18" ht="12.75" customHeight="1">
      <c r="A14" s="482" t="s">
        <v>5</v>
      </c>
      <c r="B14" s="483" t="s">
        <v>6</v>
      </c>
      <c r="C14" s="482" t="s">
        <v>7</v>
      </c>
      <c r="D14" s="481" t="s">
        <v>16</v>
      </c>
      <c r="E14" s="481" t="s">
        <v>210</v>
      </c>
      <c r="F14" s="481" t="s">
        <v>211</v>
      </c>
      <c r="I14" s="18"/>
      <c r="J14" s="19"/>
      <c r="K14" s="12"/>
      <c r="L14" s="16"/>
      <c r="M14" s="9"/>
      <c r="N14" s="4"/>
      <c r="O14" s="5"/>
      <c r="P14" s="6"/>
      <c r="Q14" s="7"/>
      <c r="R14" s="6"/>
    </row>
    <row r="15" spans="1:18" ht="38.25" customHeight="1">
      <c r="A15" s="482"/>
      <c r="B15" s="483"/>
      <c r="C15" s="482"/>
      <c r="D15" s="481"/>
      <c r="E15" s="481"/>
      <c r="F15" s="481"/>
      <c r="I15" s="18"/>
      <c r="J15" s="19"/>
      <c r="K15" s="12"/>
      <c r="L15" s="16"/>
      <c r="M15" s="9"/>
      <c r="N15" s="4"/>
      <c r="O15" s="5"/>
      <c r="P15" s="10"/>
      <c r="Q15" s="7"/>
      <c r="R15" s="6"/>
    </row>
    <row r="16" spans="1:18" ht="30" customHeight="1">
      <c r="A16" s="273">
        <v>1</v>
      </c>
      <c r="B16" s="274" t="s">
        <v>17</v>
      </c>
      <c r="C16" s="275" t="s">
        <v>8</v>
      </c>
      <c r="D16" s="276">
        <f>'См№1 ПР'!V24</f>
        <v>9299426.48</v>
      </c>
      <c r="E16" s="276">
        <f>'См№1 ПР'!V25</f>
        <v>1673896.77</v>
      </c>
      <c r="F16" s="277">
        <f>'См№1 ПР'!V26</f>
        <v>10973323.25</v>
      </c>
      <c r="H16" s="365"/>
      <c r="I16" s="366"/>
      <c r="J16" s="19"/>
      <c r="K16" s="12"/>
      <c r="L16" s="16"/>
      <c r="M16" s="9"/>
      <c r="N16" s="4"/>
      <c r="O16" s="5"/>
      <c r="P16" s="10"/>
      <c r="Q16" s="7"/>
      <c r="R16" s="6"/>
    </row>
    <row r="17" spans="1:18" ht="33" customHeight="1">
      <c r="A17" s="273">
        <v>2</v>
      </c>
      <c r="B17" s="274" t="s">
        <v>212</v>
      </c>
      <c r="C17" s="275" t="s">
        <v>9</v>
      </c>
      <c r="D17" s="276">
        <f>'См№2 Геодез'!N37</f>
        <v>116035.1</v>
      </c>
      <c r="E17" s="276">
        <f>'См№2 Геодез'!N38</f>
        <v>20886.32</v>
      </c>
      <c r="F17" s="277">
        <f>'См№2 Геодез'!N40</f>
        <v>136921.42</v>
      </c>
      <c r="G17" s="20"/>
      <c r="H17" s="365"/>
      <c r="I17" s="365"/>
      <c r="J17" s="365"/>
      <c r="K17" s="12"/>
      <c r="L17" s="16"/>
      <c r="M17" s="11"/>
      <c r="N17" s="4"/>
      <c r="O17" s="5"/>
      <c r="P17" s="6"/>
      <c r="Q17" s="7"/>
      <c r="R17" s="6"/>
    </row>
    <row r="18" spans="1:18" ht="18.75" customHeight="1">
      <c r="A18" s="273">
        <v>3</v>
      </c>
      <c r="B18" s="274" t="s">
        <v>132</v>
      </c>
      <c r="C18" s="275" t="s">
        <v>22</v>
      </c>
      <c r="D18" s="276">
        <f>'См№3 Геолог'!N52</f>
        <v>343942.69</v>
      </c>
      <c r="E18" s="276">
        <f>'См№3 Геолог'!N53</f>
        <v>61909.68</v>
      </c>
      <c r="F18" s="277">
        <f>'См№3 Геолог'!N54</f>
        <v>405852.37</v>
      </c>
      <c r="G18" s="20"/>
      <c r="H18" s="365"/>
      <c r="I18" s="365"/>
      <c r="J18" s="365"/>
      <c r="K18" s="12"/>
      <c r="L18" s="16"/>
      <c r="M18" s="11"/>
      <c r="N18" s="4"/>
      <c r="O18" s="5"/>
      <c r="P18" s="6"/>
      <c r="Q18" s="7"/>
      <c r="R18" s="6"/>
    </row>
    <row r="19" spans="1:18" ht="28.5" customHeight="1">
      <c r="A19" s="273">
        <v>4</v>
      </c>
      <c r="B19" s="274" t="s">
        <v>56</v>
      </c>
      <c r="C19" s="275" t="s">
        <v>25</v>
      </c>
      <c r="D19" s="276">
        <f>'См№4 Экология'!M61</f>
        <v>229172.32</v>
      </c>
      <c r="E19" s="276">
        <f>'См№4 Экология'!M62</f>
        <v>41251.02</v>
      </c>
      <c r="F19" s="277">
        <f>'См№4 Экология'!M63</f>
        <v>270423.34</v>
      </c>
      <c r="G19" s="20"/>
      <c r="H19" s="365"/>
      <c r="I19" s="365"/>
      <c r="J19" s="365"/>
      <c r="K19" s="12"/>
      <c r="L19" s="16"/>
      <c r="M19" s="11"/>
      <c r="N19" s="4"/>
      <c r="O19" s="5"/>
      <c r="P19" s="6"/>
      <c r="Q19" s="7"/>
      <c r="R19" s="6"/>
    </row>
    <row r="20" spans="1:18" ht="18.75" customHeight="1">
      <c r="A20" s="273">
        <v>5</v>
      </c>
      <c r="B20" s="278" t="s">
        <v>254</v>
      </c>
      <c r="C20" s="275" t="s">
        <v>267</v>
      </c>
      <c r="D20" s="276">
        <f>'См№5 Обслед'!M49</f>
        <v>61723.94</v>
      </c>
      <c r="E20" s="276">
        <f>'См№5 Обслед'!M50</f>
        <v>11110.31</v>
      </c>
      <c r="F20" s="277">
        <f>'См№5 Обслед'!M51</f>
        <v>72834.25</v>
      </c>
      <c r="G20" s="20"/>
      <c r="H20" s="365"/>
      <c r="I20" s="8"/>
      <c r="J20" s="4"/>
      <c r="K20" s="13"/>
      <c r="L20" s="9"/>
      <c r="M20" s="11"/>
      <c r="N20" s="4"/>
      <c r="O20" s="5"/>
      <c r="P20" s="10"/>
      <c r="Q20" s="7"/>
      <c r="R20" s="6"/>
    </row>
    <row r="21" spans="1:18" ht="12.75">
      <c r="A21" s="273">
        <v>6</v>
      </c>
      <c r="B21" s="274" t="s">
        <v>213</v>
      </c>
      <c r="C21" s="275" t="s">
        <v>214</v>
      </c>
      <c r="D21" s="276">
        <f>Экспертиза!B29</f>
        <v>542158.04</v>
      </c>
      <c r="E21" s="276">
        <f>Экспертиза!B30</f>
        <v>97588.44</v>
      </c>
      <c r="F21" s="277">
        <f>Экспертиза!B31</f>
        <v>639746.48</v>
      </c>
      <c r="H21" s="4"/>
      <c r="I21" s="4"/>
      <c r="J21" s="9"/>
      <c r="K21" s="9"/>
      <c r="L21" s="9"/>
      <c r="M21" s="9"/>
      <c r="N21" s="4"/>
      <c r="O21" s="5"/>
      <c r="P21" s="10"/>
      <c r="Q21" s="7"/>
      <c r="R21" s="7"/>
    </row>
    <row r="22" spans="1:16" ht="12.75">
      <c r="A22" s="273">
        <v>7</v>
      </c>
      <c r="B22" s="274" t="s">
        <v>10</v>
      </c>
      <c r="C22" s="275"/>
      <c r="D22" s="276">
        <f>SUM(D16:D21)</f>
        <v>10592458.57</v>
      </c>
      <c r="E22" s="276">
        <f>SUM(E16:E21)</f>
        <v>1906642.54</v>
      </c>
      <c r="F22" s="276">
        <f>SUM(F16:F21)</f>
        <v>12499101.11</v>
      </c>
      <c r="H22" s="4"/>
      <c r="I22" s="4"/>
      <c r="J22" s="11"/>
      <c r="K22" s="9"/>
      <c r="L22" s="9"/>
      <c r="M22" s="14"/>
      <c r="N22" s="4"/>
      <c r="O22" s="5"/>
      <c r="P22" s="10"/>
    </row>
    <row r="23" spans="1:16" ht="12.75" customHeight="1">
      <c r="A23" s="254"/>
      <c r="B23" s="254"/>
      <c r="C23" s="254"/>
      <c r="D23" s="279"/>
      <c r="E23" s="254"/>
      <c r="F23" s="279"/>
      <c r="H23" s="4"/>
      <c r="I23" s="4"/>
      <c r="J23" s="9"/>
      <c r="K23" s="9"/>
      <c r="L23" s="9"/>
      <c r="M23" s="9"/>
      <c r="N23" s="4"/>
      <c r="O23" s="5"/>
      <c r="P23" s="10"/>
    </row>
    <row r="24" spans="1:16" ht="12.75">
      <c r="A24" s="254"/>
      <c r="B24" s="31" t="s">
        <v>263</v>
      </c>
      <c r="C24" s="31"/>
      <c r="D24" s="31"/>
      <c r="E24" s="15"/>
      <c r="F24" s="31" t="s">
        <v>264</v>
      </c>
      <c r="H24" s="4"/>
      <c r="I24" s="4"/>
      <c r="J24" s="9"/>
      <c r="K24" s="9"/>
      <c r="L24" s="9"/>
      <c r="M24" s="9"/>
      <c r="N24" s="4"/>
      <c r="O24" s="5"/>
      <c r="P24" s="10"/>
    </row>
    <row r="25" spans="1:16" ht="12.75">
      <c r="A25" s="254"/>
      <c r="B25" s="31"/>
      <c r="C25" s="31"/>
      <c r="D25" s="254"/>
      <c r="E25" s="15"/>
      <c r="F25" s="254"/>
      <c r="H25" s="4"/>
      <c r="I25" s="4"/>
      <c r="J25" s="9"/>
      <c r="K25" s="9"/>
      <c r="L25" s="9"/>
      <c r="M25" s="9"/>
      <c r="N25" s="4"/>
      <c r="O25" s="5"/>
      <c r="P25" s="10"/>
    </row>
    <row r="26" spans="1:16" ht="12.75">
      <c r="A26" s="254"/>
      <c r="B26" s="254"/>
      <c r="C26" s="254"/>
      <c r="D26" s="254"/>
      <c r="E26" s="279"/>
      <c r="F26" s="254"/>
      <c r="H26" s="4"/>
      <c r="I26" s="4"/>
      <c r="J26" s="9"/>
      <c r="K26" s="9"/>
      <c r="L26" s="9"/>
      <c r="M26" s="9"/>
      <c r="N26" s="4"/>
      <c r="O26" s="5"/>
      <c r="P26" s="10"/>
    </row>
    <row r="27" spans="1:16" ht="12.75">
      <c r="A27" s="254"/>
      <c r="B27" s="254"/>
      <c r="C27" s="254"/>
      <c r="D27" s="254"/>
      <c r="E27" s="279"/>
      <c r="F27" s="254"/>
      <c r="H27" s="4"/>
      <c r="I27" s="4"/>
      <c r="J27" s="9"/>
      <c r="K27" s="9"/>
      <c r="L27" s="9"/>
      <c r="M27" s="9"/>
      <c r="N27" s="4"/>
      <c r="O27" s="5"/>
      <c r="P27" s="10"/>
    </row>
    <row r="28" spans="1:16" ht="12.75">
      <c r="A28" s="254"/>
      <c r="B28" s="15"/>
      <c r="C28" s="15"/>
      <c r="D28" s="254"/>
      <c r="E28" s="15"/>
      <c r="F28" s="254"/>
      <c r="H28" s="4"/>
      <c r="I28" s="4"/>
      <c r="J28" s="9"/>
      <c r="K28" s="9"/>
      <c r="L28" s="9"/>
      <c r="M28" s="9"/>
      <c r="N28" s="4"/>
      <c r="O28" s="5"/>
      <c r="P28" s="10"/>
    </row>
    <row r="29" spans="1:15" ht="12.75">
      <c r="A29" s="254"/>
      <c r="B29" s="15"/>
      <c r="C29" s="15"/>
      <c r="D29" s="254"/>
      <c r="E29" s="15"/>
      <c r="F29" s="254"/>
      <c r="H29" s="4"/>
      <c r="I29" s="4"/>
      <c r="J29" s="9"/>
      <c r="K29" s="9"/>
      <c r="L29" s="9"/>
      <c r="M29" s="9"/>
      <c r="N29" s="4"/>
      <c r="O29" s="5"/>
    </row>
    <row r="30" spans="1:15" ht="12.75">
      <c r="A30" s="254"/>
      <c r="B30" s="15"/>
      <c r="C30" s="15"/>
      <c r="D30" s="254"/>
      <c r="E30" s="15"/>
      <c r="F30" s="254"/>
      <c r="H30" s="4"/>
      <c r="I30" s="4"/>
      <c r="J30" s="9"/>
      <c r="K30" s="9"/>
      <c r="L30" s="9"/>
      <c r="M30" s="9"/>
      <c r="N30" s="4"/>
      <c r="O30" s="5"/>
    </row>
    <row r="31" spans="1:15" ht="12.75">
      <c r="A31" s="254"/>
      <c r="B31" s="15"/>
      <c r="C31" s="15"/>
      <c r="D31" s="254"/>
      <c r="E31" s="15"/>
      <c r="F31" s="254"/>
      <c r="H31" s="4"/>
      <c r="I31" s="4"/>
      <c r="J31" s="9"/>
      <c r="K31" s="9"/>
      <c r="L31" s="9"/>
      <c r="M31" s="9"/>
      <c r="N31" s="4"/>
      <c r="O31" s="5"/>
    </row>
    <row r="32" spans="1:15" ht="12.75">
      <c r="A32" s="254"/>
      <c r="B32" s="254"/>
      <c r="C32" s="254"/>
      <c r="D32" s="254"/>
      <c r="E32" s="254"/>
      <c r="F32" s="254"/>
      <c r="H32" s="4"/>
      <c r="I32" s="4"/>
      <c r="J32" s="9"/>
      <c r="K32" s="9"/>
      <c r="L32" s="9"/>
      <c r="M32" s="9"/>
      <c r="N32" s="4"/>
      <c r="O32" s="5"/>
    </row>
    <row r="33" spans="1:15" ht="12.75">
      <c r="A33" s="254"/>
      <c r="B33" s="254"/>
      <c r="C33" s="254"/>
      <c r="D33" s="254"/>
      <c r="E33" s="254"/>
      <c r="F33" s="254"/>
      <c r="H33" s="4"/>
      <c r="I33" s="4"/>
      <c r="J33" s="9"/>
      <c r="K33" s="9"/>
      <c r="L33" s="9"/>
      <c r="M33" s="9"/>
      <c r="N33" s="4"/>
      <c r="O33" s="4"/>
    </row>
    <row r="34" spans="1:15" ht="12.75">
      <c r="A34" s="254"/>
      <c r="B34" s="254"/>
      <c r="C34" s="254"/>
      <c r="D34" s="254"/>
      <c r="E34" s="254"/>
      <c r="F34" s="254"/>
      <c r="H34" s="4"/>
      <c r="I34" s="4"/>
      <c r="J34" s="9"/>
      <c r="K34" s="9"/>
      <c r="L34" s="9"/>
      <c r="M34" s="9"/>
      <c r="N34" s="4"/>
      <c r="O34" s="4"/>
    </row>
    <row r="35" spans="10:13" ht="12.75">
      <c r="J35" s="10"/>
      <c r="K35" s="10"/>
      <c r="L35" s="10"/>
      <c r="M35" s="10"/>
    </row>
    <row r="36" spans="10:13" ht="12.75">
      <c r="J36" s="10"/>
      <c r="K36" s="10"/>
      <c r="L36" s="10"/>
      <c r="M36" s="10"/>
    </row>
    <row r="37" spans="10:13" ht="12.75">
      <c r="J37" s="10"/>
      <c r="K37" s="10"/>
      <c r="L37" s="10"/>
      <c r="M37" s="10"/>
    </row>
    <row r="38" spans="10:13" ht="12.75">
      <c r="J38" s="10"/>
      <c r="K38" s="10"/>
      <c r="L38" s="10"/>
      <c r="M38" s="10"/>
    </row>
    <row r="39" spans="10:13" ht="12.75">
      <c r="J39" s="10"/>
      <c r="K39" s="10"/>
      <c r="L39" s="10"/>
      <c r="M39" s="10"/>
    </row>
    <row r="40" spans="10:13" ht="12.75">
      <c r="J40" s="10"/>
      <c r="K40" s="10"/>
      <c r="L40" s="10"/>
      <c r="M40" s="10"/>
    </row>
    <row r="41" spans="10:13" ht="12.75">
      <c r="J41" s="10"/>
      <c r="K41" s="10"/>
      <c r="L41" s="10"/>
      <c r="M41" s="10"/>
    </row>
    <row r="42" spans="10:13" ht="12.75">
      <c r="J42" s="10"/>
      <c r="K42" s="10"/>
      <c r="L42" s="10"/>
      <c r="M42" s="10"/>
    </row>
    <row r="43" spans="10:13" ht="12.75">
      <c r="J43" s="10"/>
      <c r="K43" s="10"/>
      <c r="L43" s="10"/>
      <c r="M43" s="10"/>
    </row>
    <row r="44" spans="10:13" ht="12.75">
      <c r="J44" s="10"/>
      <c r="K44" s="10"/>
      <c r="L44" s="10"/>
      <c r="M44" s="10"/>
    </row>
    <row r="45" spans="10:13" ht="12.75">
      <c r="J45" s="10"/>
      <c r="K45" s="10"/>
      <c r="L45" s="10"/>
      <c r="M45" s="10"/>
    </row>
    <row r="46" spans="10:13" ht="12.75">
      <c r="J46" s="10"/>
      <c r="K46" s="10"/>
      <c r="L46" s="10"/>
      <c r="M46" s="10"/>
    </row>
    <row r="47" spans="10:13" ht="12.75">
      <c r="J47" s="10"/>
      <c r="K47" s="10"/>
      <c r="L47" s="10"/>
      <c r="M47" s="10"/>
    </row>
    <row r="48" spans="10:13" ht="12.75">
      <c r="J48" s="10"/>
      <c r="K48" s="10"/>
      <c r="L48" s="10"/>
      <c r="M48" s="10"/>
    </row>
    <row r="49" spans="10:13" ht="12.75">
      <c r="J49" s="10"/>
      <c r="K49" s="10"/>
      <c r="L49" s="10"/>
      <c r="M49" s="10"/>
    </row>
    <row r="50" spans="10:13" ht="12.75">
      <c r="J50" s="10"/>
      <c r="K50" s="10"/>
      <c r="L50" s="10"/>
      <c r="M50" s="10"/>
    </row>
    <row r="51" spans="10:13" ht="12.75">
      <c r="J51" s="10"/>
      <c r="K51" s="10"/>
      <c r="L51" s="10"/>
      <c r="M51" s="10"/>
    </row>
    <row r="52" spans="10:13" ht="12.75">
      <c r="J52" s="10"/>
      <c r="K52" s="10"/>
      <c r="L52" s="10"/>
      <c r="M52" s="10"/>
    </row>
    <row r="53" spans="10:13" ht="12.75">
      <c r="J53" s="10"/>
      <c r="K53" s="10"/>
      <c r="L53" s="10"/>
      <c r="M53" s="10"/>
    </row>
    <row r="54" spans="10:13" ht="12.75">
      <c r="J54" s="10"/>
      <c r="K54" s="10"/>
      <c r="L54" s="10"/>
      <c r="M54" s="10"/>
    </row>
    <row r="55" spans="10:13" ht="12.75">
      <c r="J55" s="10"/>
      <c r="K55" s="10"/>
      <c r="L55" s="10"/>
      <c r="M55" s="10"/>
    </row>
    <row r="56" spans="10:13" ht="12.75">
      <c r="J56" s="10"/>
      <c r="K56" s="10"/>
      <c r="L56" s="10"/>
      <c r="M56" s="10"/>
    </row>
    <row r="57" spans="10:13" ht="12.75">
      <c r="J57" s="10"/>
      <c r="K57" s="10"/>
      <c r="L57" s="10"/>
      <c r="M57" s="10"/>
    </row>
    <row r="58" spans="10:13" ht="12.75">
      <c r="J58" s="10"/>
      <c r="K58" s="10"/>
      <c r="L58" s="10"/>
      <c r="M58" s="10"/>
    </row>
    <row r="59" spans="10:13" ht="12.75">
      <c r="J59" s="10"/>
      <c r="K59" s="10"/>
      <c r="L59" s="10"/>
      <c r="M59" s="10"/>
    </row>
    <row r="60" spans="10:13" ht="12.75">
      <c r="J60" s="10"/>
      <c r="K60" s="10"/>
      <c r="L60" s="10"/>
      <c r="M60" s="10"/>
    </row>
    <row r="61" spans="10:13" ht="12.75">
      <c r="J61" s="10"/>
      <c r="K61" s="10"/>
      <c r="L61" s="10"/>
      <c r="M61" s="10"/>
    </row>
    <row r="62" spans="10:13" ht="12.75">
      <c r="J62" s="10"/>
      <c r="K62" s="10"/>
      <c r="L62" s="10"/>
      <c r="M62" s="10"/>
    </row>
    <row r="63" spans="10:13" ht="12.75">
      <c r="J63" s="10"/>
      <c r="K63" s="10"/>
      <c r="L63" s="10"/>
      <c r="M63" s="10"/>
    </row>
    <row r="64" spans="10:13" ht="12.75">
      <c r="J64" s="10"/>
      <c r="K64" s="10"/>
      <c r="L64" s="10"/>
      <c r="M64" s="10"/>
    </row>
    <row r="65" spans="10:13" ht="12.75">
      <c r="J65" s="10"/>
      <c r="K65" s="10"/>
      <c r="L65" s="10"/>
      <c r="M65" s="10"/>
    </row>
    <row r="66" spans="10:13" ht="12.75">
      <c r="J66" s="10"/>
      <c r="K66" s="10"/>
      <c r="L66" s="10"/>
      <c r="M66" s="10"/>
    </row>
  </sheetData>
  <sheetProtection/>
  <mergeCells count="17">
    <mergeCell ref="E1:F1"/>
    <mergeCell ref="F14:F15"/>
    <mergeCell ref="A14:A15"/>
    <mergeCell ref="B14:B15"/>
    <mergeCell ref="C14:C15"/>
    <mergeCell ref="D14:D15"/>
    <mergeCell ref="E14:E15"/>
    <mergeCell ref="A8:F8"/>
    <mergeCell ref="A10:F10"/>
    <mergeCell ref="A11:F11"/>
    <mergeCell ref="A12:F12"/>
    <mergeCell ref="E2:F2"/>
    <mergeCell ref="E3:F3"/>
    <mergeCell ref="E4:F4"/>
    <mergeCell ref="E5:F5"/>
    <mergeCell ref="E6:F6"/>
    <mergeCell ref="E7:F7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4"/>
  <sheetViews>
    <sheetView view="pageBreakPreview" zoomScaleSheetLayoutView="100" zoomScalePageLayoutView="0" workbookViewId="0" topLeftCell="A10">
      <selection activeCell="D25" sqref="D25"/>
    </sheetView>
  </sheetViews>
  <sheetFormatPr defaultColWidth="9.00390625" defaultRowHeight="12.75"/>
  <cols>
    <col min="1" max="1" width="2.75390625" style="3" customWidth="1"/>
    <col min="2" max="2" width="14.125" style="3" customWidth="1"/>
    <col min="3" max="3" width="15.75390625" style="3" customWidth="1"/>
    <col min="4" max="4" width="7.75390625" style="3" customWidth="1"/>
    <col min="5" max="5" width="1.75390625" style="3" customWidth="1"/>
    <col min="6" max="6" width="7.375" style="3" customWidth="1"/>
    <col min="7" max="7" width="1.25" style="3" customWidth="1"/>
    <col min="8" max="8" width="5.125" style="3" customWidth="1"/>
    <col min="9" max="9" width="1.75390625" style="3" customWidth="1"/>
    <col min="10" max="10" width="6.25390625" style="3" customWidth="1"/>
    <col min="11" max="11" width="2.875" style="3" customWidth="1"/>
    <col min="12" max="12" width="5.625" style="3" customWidth="1"/>
    <col min="13" max="13" width="1.25" style="3" customWidth="1"/>
    <col min="14" max="14" width="0.2421875" style="3" customWidth="1"/>
    <col min="15" max="15" width="1.875" style="3" hidden="1" customWidth="1"/>
    <col min="16" max="16" width="1.25" style="3" hidden="1" customWidth="1"/>
    <col min="17" max="17" width="0.37109375" style="3" hidden="1" customWidth="1"/>
    <col min="18" max="20" width="1.25" style="3" hidden="1" customWidth="1"/>
    <col min="21" max="21" width="0.74609375" style="3" hidden="1" customWidth="1"/>
    <col min="22" max="22" width="11.625" style="10" customWidth="1"/>
    <col min="23" max="23" width="9.125" style="3" customWidth="1"/>
    <col min="24" max="24" width="16.375" style="3" customWidth="1"/>
    <col min="25" max="16384" width="9.125" style="3" customWidth="1"/>
  </cols>
  <sheetData>
    <row r="1" spans="8:22" ht="17.25" customHeight="1">
      <c r="H1" s="494" t="s">
        <v>256</v>
      </c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</row>
    <row r="2" spans="8:22" ht="13.5" customHeight="1">
      <c r="H2" s="479" t="s">
        <v>257</v>
      </c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</row>
    <row r="3" spans="8:22" ht="15" customHeight="1">
      <c r="H3" s="479" t="s">
        <v>258</v>
      </c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</row>
    <row r="4" spans="8:22" ht="21.75" customHeight="1">
      <c r="H4" s="479" t="s">
        <v>259</v>
      </c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</row>
    <row r="5" spans="8:22" ht="19.5" customHeight="1">
      <c r="H5" s="479" t="s">
        <v>260</v>
      </c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</row>
    <row r="6" spans="5:22" ht="12.75">
      <c r="E6" s="479"/>
      <c r="F6" s="479"/>
      <c r="V6" s="3"/>
    </row>
    <row r="7" spans="1:22" ht="12.75">
      <c r="A7" s="484" t="s">
        <v>265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</row>
    <row r="8" spans="1:22" ht="12.75">
      <c r="A8" s="492" t="s">
        <v>266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</row>
    <row r="9" spans="1:22" ht="12.75">
      <c r="A9" s="348"/>
      <c r="B9" s="348"/>
      <c r="C9" s="348"/>
      <c r="D9" s="348"/>
      <c r="E9" s="348"/>
      <c r="F9" s="348"/>
      <c r="V9" s="3"/>
    </row>
    <row r="10" spans="1:22" ht="17.25" customHeight="1">
      <c r="A10" s="478" t="s">
        <v>287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</row>
    <row r="11" spans="1:22" ht="13.5" customHeight="1">
      <c r="A11" s="478" t="s">
        <v>261</v>
      </c>
      <c r="B11" s="478"/>
      <c r="C11" s="478"/>
      <c r="D11" s="478"/>
      <c r="E11" s="478"/>
      <c r="F11" s="478"/>
      <c r="G11" s="17"/>
      <c r="H11" s="16"/>
      <c r="I11" s="17"/>
      <c r="J11" s="16"/>
      <c r="V11" s="3"/>
    </row>
    <row r="12" spans="1:22" ht="13.5" customHeight="1">
      <c r="A12" s="478" t="s">
        <v>262</v>
      </c>
      <c r="B12" s="478"/>
      <c r="C12" s="478"/>
      <c r="D12" s="478"/>
      <c r="E12" s="478"/>
      <c r="F12" s="478"/>
      <c r="G12" s="17"/>
      <c r="H12" s="16"/>
      <c r="I12" s="17"/>
      <c r="J12" s="16"/>
      <c r="V12" s="3"/>
    </row>
    <row r="13" spans="1:22" ht="13.5" customHeight="1">
      <c r="A13" s="359"/>
      <c r="B13" s="359"/>
      <c r="C13" s="359"/>
      <c r="D13" s="359"/>
      <c r="E13" s="359"/>
      <c r="F13" s="359"/>
      <c r="G13" s="17"/>
      <c r="H13" s="16"/>
      <c r="I13" s="17"/>
      <c r="J13" s="16"/>
      <c r="V13" s="3"/>
    </row>
    <row r="14" spans="1:22" ht="101.25" customHeight="1">
      <c r="A14" s="369" t="s">
        <v>0</v>
      </c>
      <c r="B14" s="369" t="s">
        <v>1</v>
      </c>
      <c r="C14" s="490" t="s">
        <v>2</v>
      </c>
      <c r="D14" s="501"/>
      <c r="E14" s="491" t="s">
        <v>15</v>
      </c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501"/>
      <c r="V14" s="369" t="s">
        <v>13</v>
      </c>
    </row>
    <row r="15" spans="1:22" ht="11.25" customHeight="1">
      <c r="A15" s="24">
        <v>1</v>
      </c>
      <c r="B15" s="24">
        <v>2</v>
      </c>
      <c r="C15" s="502">
        <v>3</v>
      </c>
      <c r="D15" s="503"/>
      <c r="E15" s="508" t="s">
        <v>12</v>
      </c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3"/>
      <c r="V15" s="370">
        <v>5</v>
      </c>
    </row>
    <row r="16" spans="1:22" ht="131.25" customHeight="1">
      <c r="A16" s="371" t="s">
        <v>3</v>
      </c>
      <c r="B16" s="372" t="s">
        <v>286</v>
      </c>
      <c r="C16" s="511" t="s">
        <v>255</v>
      </c>
      <c r="D16" s="512"/>
      <c r="E16" s="373" t="s">
        <v>58</v>
      </c>
      <c r="F16" s="374">
        <f>D17</f>
        <v>1529.7</v>
      </c>
      <c r="G16" s="375" t="s">
        <v>59</v>
      </c>
      <c r="H16" s="375">
        <f>D19</f>
        <v>27.14</v>
      </c>
      <c r="I16" s="376" t="s">
        <v>11</v>
      </c>
      <c r="J16" s="377">
        <f>D18</f>
        <v>68.47</v>
      </c>
      <c r="K16" s="107" t="s">
        <v>60</v>
      </c>
      <c r="L16" s="378"/>
      <c r="M16" s="367"/>
      <c r="N16" s="367"/>
      <c r="O16" s="367"/>
      <c r="P16" s="367"/>
      <c r="Q16" s="367"/>
      <c r="R16" s="367"/>
      <c r="S16" s="367"/>
      <c r="T16" s="367"/>
      <c r="U16" s="367"/>
      <c r="V16" s="379">
        <f>ROUND((F16+H16*J16)*H18*J18,2)</f>
        <v>13009.83</v>
      </c>
    </row>
    <row r="17" spans="1:22" ht="11.25" customHeight="1">
      <c r="A17" s="380"/>
      <c r="B17" s="381"/>
      <c r="C17" s="382" t="s">
        <v>81</v>
      </c>
      <c r="D17" s="383">
        <v>1529.7</v>
      </c>
      <c r="E17" s="384"/>
      <c r="F17" s="384"/>
      <c r="G17" s="384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6"/>
      <c r="V17" s="387"/>
    </row>
    <row r="18" spans="1:22" ht="11.25" customHeight="1">
      <c r="A18" s="380"/>
      <c r="B18" s="381"/>
      <c r="C18" s="382" t="s">
        <v>84</v>
      </c>
      <c r="D18" s="388">
        <v>68.47</v>
      </c>
      <c r="E18" s="389"/>
      <c r="F18" s="390"/>
      <c r="G18" s="391" t="s">
        <v>11</v>
      </c>
      <c r="H18" s="392">
        <f>D20</f>
        <v>1</v>
      </c>
      <c r="I18" s="393" t="s">
        <v>11</v>
      </c>
      <c r="J18" s="394">
        <f>D21</f>
        <v>3.84</v>
      </c>
      <c r="K18" s="395"/>
      <c r="L18" s="495"/>
      <c r="M18" s="495"/>
      <c r="N18" s="392"/>
      <c r="O18" s="391"/>
      <c r="P18" s="385"/>
      <c r="Q18" s="385"/>
      <c r="R18" s="385"/>
      <c r="S18" s="385"/>
      <c r="T18" s="385"/>
      <c r="U18" s="386"/>
      <c r="V18" s="387"/>
    </row>
    <row r="19" spans="1:22" ht="11.25" customHeight="1">
      <c r="A19" s="380"/>
      <c r="B19" s="397"/>
      <c r="C19" s="382" t="s">
        <v>85</v>
      </c>
      <c r="D19" s="398">
        <v>27.14</v>
      </c>
      <c r="E19" s="384"/>
      <c r="F19" s="384"/>
      <c r="G19" s="384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6"/>
      <c r="V19" s="387"/>
    </row>
    <row r="20" spans="1:22" ht="15.75" customHeight="1">
      <c r="A20" s="380"/>
      <c r="B20" s="399" t="s">
        <v>86</v>
      </c>
      <c r="C20" s="400"/>
      <c r="D20" s="388">
        <v>1</v>
      </c>
      <c r="E20" s="384"/>
      <c r="F20" s="384"/>
      <c r="G20" s="384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6"/>
      <c r="V20" s="387"/>
    </row>
    <row r="21" spans="1:28" ht="27.75" customHeight="1">
      <c r="A21" s="401"/>
      <c r="B21" s="499" t="s">
        <v>96</v>
      </c>
      <c r="C21" s="500"/>
      <c r="D21" s="402">
        <v>3.84</v>
      </c>
      <c r="E21" s="403"/>
      <c r="F21" s="403"/>
      <c r="G21" s="403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5"/>
      <c r="V21" s="406"/>
      <c r="AA21" s="493"/>
      <c r="AB21" s="493"/>
    </row>
    <row r="22" spans="1:22" ht="13.5" customHeight="1">
      <c r="A22" s="407" t="s">
        <v>12</v>
      </c>
      <c r="B22" s="408"/>
      <c r="C22" s="496" t="s">
        <v>82</v>
      </c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8"/>
      <c r="V22" s="409">
        <f>V16</f>
        <v>13009.83</v>
      </c>
    </row>
    <row r="23" spans="1:22" ht="13.5" customHeight="1">
      <c r="A23" s="407" t="s">
        <v>18</v>
      </c>
      <c r="B23" s="410"/>
      <c r="C23" s="513" t="s">
        <v>80</v>
      </c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5"/>
      <c r="V23" s="411">
        <f>V22*1000</f>
        <v>13009830</v>
      </c>
    </row>
    <row r="24" spans="1:28" ht="16.5" customHeight="1">
      <c r="A24" s="407" t="s">
        <v>73</v>
      </c>
      <c r="B24" s="490" t="s">
        <v>19</v>
      </c>
      <c r="C24" s="491"/>
      <c r="D24" s="22" t="s">
        <v>292</v>
      </c>
      <c r="E24" s="488">
        <f>V23</f>
        <v>13009830</v>
      </c>
      <c r="F24" s="489"/>
      <c r="G24" s="489"/>
      <c r="H24" s="489"/>
      <c r="I24" s="489"/>
      <c r="J24" s="489"/>
      <c r="K24" s="102" t="s">
        <v>11</v>
      </c>
      <c r="L24" s="102" t="str">
        <f>D24</f>
        <v>0,7148</v>
      </c>
      <c r="M24" s="102"/>
      <c r="N24" s="102"/>
      <c r="O24" s="102"/>
      <c r="P24" s="102"/>
      <c r="Q24" s="102"/>
      <c r="R24" s="102"/>
      <c r="S24" s="102"/>
      <c r="T24" s="102"/>
      <c r="U24" s="102"/>
      <c r="V24" s="412">
        <f>ROUND(E24*L24,3)</f>
        <v>9299426.48</v>
      </c>
      <c r="Z24" s="486"/>
      <c r="AA24" s="486"/>
      <c r="AB24" s="486"/>
    </row>
    <row r="25" spans="1:27" ht="12.75">
      <c r="A25" s="413" t="s">
        <v>83</v>
      </c>
      <c r="B25" s="1"/>
      <c r="C25" s="2" t="s">
        <v>14</v>
      </c>
      <c r="D25" s="414">
        <v>0.18</v>
      </c>
      <c r="E25" s="21"/>
      <c r="F25" s="21"/>
      <c r="G25" s="21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6">
        <f>ROUND(V24*0.18,3)</f>
        <v>1673896.77</v>
      </c>
      <c r="Z25" s="487"/>
      <c r="AA25" s="487"/>
    </row>
    <row r="26" spans="1:22" ht="19.5" customHeight="1">
      <c r="A26" s="24" t="s">
        <v>87</v>
      </c>
      <c r="B26" s="508" t="s">
        <v>93</v>
      </c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103"/>
      <c r="P26" s="15"/>
      <c r="Q26" s="15"/>
      <c r="R26" s="15"/>
      <c r="S26" s="15"/>
      <c r="T26" s="15"/>
      <c r="U26" s="15"/>
      <c r="V26" s="109">
        <f>ROUND((V24+V25),2)</f>
        <v>10973323.25</v>
      </c>
    </row>
    <row r="27" spans="1:22" ht="13.5" customHeight="1">
      <c r="A27" s="101" t="s">
        <v>88</v>
      </c>
      <c r="B27" s="509" t="s">
        <v>74</v>
      </c>
      <c r="C27" s="510"/>
      <c r="D27" s="104" t="s">
        <v>75</v>
      </c>
      <c r="E27" s="506">
        <f>V26</f>
        <v>10973323.25</v>
      </c>
      <c r="F27" s="507"/>
      <c r="G27" s="507"/>
      <c r="H27" s="507"/>
      <c r="I27" s="507"/>
      <c r="J27" s="507"/>
      <c r="K27" s="107" t="s">
        <v>11</v>
      </c>
      <c r="L27" s="108" t="s">
        <v>76</v>
      </c>
      <c r="M27" s="108"/>
      <c r="N27" s="108"/>
      <c r="O27" s="108"/>
      <c r="P27" s="102"/>
      <c r="Q27" s="102"/>
      <c r="R27" s="102"/>
      <c r="S27" s="102"/>
      <c r="T27" s="102"/>
      <c r="U27" s="102"/>
      <c r="V27" s="109">
        <f>ROUND(E27*L27,2)</f>
        <v>4389329.3</v>
      </c>
    </row>
    <row r="28" spans="1:22" ht="12.75">
      <c r="A28" s="368"/>
      <c r="B28" s="504" t="s">
        <v>77</v>
      </c>
      <c r="C28" s="505"/>
      <c r="D28" s="22" t="s">
        <v>78</v>
      </c>
      <c r="E28" s="488">
        <f>V26</f>
        <v>10973323.25</v>
      </c>
      <c r="F28" s="489"/>
      <c r="G28" s="489"/>
      <c r="H28" s="489"/>
      <c r="I28" s="489"/>
      <c r="J28" s="489"/>
      <c r="K28" s="105" t="s">
        <v>11</v>
      </c>
      <c r="L28" s="102" t="s">
        <v>79</v>
      </c>
      <c r="M28" s="102"/>
      <c r="N28" s="102"/>
      <c r="O28" s="103"/>
      <c r="P28" s="106"/>
      <c r="Q28" s="106"/>
      <c r="R28" s="106"/>
      <c r="S28" s="106"/>
      <c r="T28" s="106"/>
      <c r="U28" s="106"/>
      <c r="V28" s="110">
        <f>ROUND(E28*L28,2)</f>
        <v>6583993.95</v>
      </c>
    </row>
    <row r="30" spans="2:11" ht="12.75">
      <c r="B30" s="15" t="s">
        <v>263</v>
      </c>
      <c r="C30" s="15"/>
      <c r="H30" s="15"/>
      <c r="K30" s="3" t="s">
        <v>264</v>
      </c>
    </row>
    <row r="31" spans="2:7" ht="12.75">
      <c r="B31" s="417"/>
      <c r="C31" s="418"/>
      <c r="G31" s="418"/>
    </row>
    <row r="32" spans="2:7" ht="12.75">
      <c r="B32" s="418"/>
      <c r="C32" s="418"/>
      <c r="G32" s="418"/>
    </row>
    <row r="33" spans="2:7" ht="12.75">
      <c r="B33" s="418"/>
      <c r="C33" s="418"/>
      <c r="G33" s="418"/>
    </row>
    <row r="34" spans="2:7" ht="12.75">
      <c r="B34" s="419"/>
      <c r="C34" s="418"/>
      <c r="G34" s="418"/>
    </row>
  </sheetData>
  <sheetProtection/>
  <mergeCells count="30">
    <mergeCell ref="B28:C28"/>
    <mergeCell ref="E27:J27"/>
    <mergeCell ref="E28:J28"/>
    <mergeCell ref="B26:N26"/>
    <mergeCell ref="B27:C27"/>
    <mergeCell ref="H5:V5"/>
    <mergeCell ref="E6:F6"/>
    <mergeCell ref="C16:D16"/>
    <mergeCell ref="C23:U23"/>
    <mergeCell ref="E15:U15"/>
    <mergeCell ref="H1:V1"/>
    <mergeCell ref="H2:V2"/>
    <mergeCell ref="H3:V3"/>
    <mergeCell ref="H4:V4"/>
    <mergeCell ref="L18:M18"/>
    <mergeCell ref="C22:U22"/>
    <mergeCell ref="B21:C21"/>
    <mergeCell ref="C14:D14"/>
    <mergeCell ref="E14:U14"/>
    <mergeCell ref="C15:D15"/>
    <mergeCell ref="Z24:AB24"/>
    <mergeCell ref="Z25:AA25"/>
    <mergeCell ref="E24:J24"/>
    <mergeCell ref="B24:C24"/>
    <mergeCell ref="A7:V7"/>
    <mergeCell ref="A8:V8"/>
    <mergeCell ref="A10:V10"/>
    <mergeCell ref="A11:F11"/>
    <mergeCell ref="A12:F12"/>
    <mergeCell ref="AA21:AB21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view="pageBreakPreview" zoomScaleSheetLayoutView="100" zoomScalePageLayoutView="0" workbookViewId="0" topLeftCell="A1">
      <selection activeCell="D21" sqref="D21:D28"/>
    </sheetView>
  </sheetViews>
  <sheetFormatPr defaultColWidth="9.00390625" defaultRowHeight="12.75"/>
  <cols>
    <col min="1" max="1" width="4.00390625" style="3" customWidth="1"/>
    <col min="2" max="2" width="35.25390625" style="3" customWidth="1"/>
    <col min="3" max="3" width="7.375" style="3" customWidth="1"/>
    <col min="4" max="4" width="14.875" style="3" customWidth="1"/>
    <col min="5" max="5" width="6.25390625" style="3" customWidth="1"/>
    <col min="6" max="6" width="2.25390625" style="3" customWidth="1"/>
    <col min="7" max="7" width="5.375" style="3" customWidth="1"/>
    <col min="8" max="8" width="2.625" style="3" customWidth="1"/>
    <col min="9" max="9" width="5.00390625" style="3" customWidth="1"/>
    <col min="10" max="10" width="1.625" style="3" customWidth="1"/>
    <col min="11" max="11" width="5.25390625" style="3" customWidth="1"/>
    <col min="12" max="12" width="1.25" style="3" customWidth="1"/>
    <col min="13" max="13" width="4.125" style="3" customWidth="1"/>
    <col min="14" max="14" width="12.375" style="3" customWidth="1"/>
    <col min="15" max="16384" width="9.125" style="3" customWidth="1"/>
  </cols>
  <sheetData>
    <row r="1" spans="6:22" ht="17.25" customHeight="1">
      <c r="F1" s="494" t="s">
        <v>256</v>
      </c>
      <c r="G1" s="494"/>
      <c r="H1" s="494"/>
      <c r="I1" s="494"/>
      <c r="J1" s="494"/>
      <c r="K1" s="494"/>
      <c r="L1" s="494"/>
      <c r="M1" s="494"/>
      <c r="N1" s="494"/>
      <c r="O1" s="360"/>
      <c r="P1" s="360"/>
      <c r="Q1" s="360"/>
      <c r="R1" s="360"/>
      <c r="S1" s="360"/>
      <c r="T1" s="360"/>
      <c r="U1" s="360"/>
      <c r="V1" s="360"/>
    </row>
    <row r="2" spans="6:22" ht="13.5" customHeight="1">
      <c r="F2" s="479" t="s">
        <v>257</v>
      </c>
      <c r="G2" s="479"/>
      <c r="H2" s="479"/>
      <c r="I2" s="479"/>
      <c r="J2" s="479"/>
      <c r="K2" s="479"/>
      <c r="L2" s="479"/>
      <c r="M2" s="479"/>
      <c r="N2" s="479"/>
      <c r="O2" s="76"/>
      <c r="P2" s="76"/>
      <c r="Q2" s="76"/>
      <c r="R2" s="76"/>
      <c r="S2" s="76"/>
      <c r="T2" s="76"/>
      <c r="U2" s="76"/>
      <c r="V2" s="76"/>
    </row>
    <row r="3" spans="6:22" ht="15" customHeight="1">
      <c r="F3" s="479" t="s">
        <v>258</v>
      </c>
      <c r="G3" s="479"/>
      <c r="H3" s="479"/>
      <c r="I3" s="479"/>
      <c r="J3" s="479"/>
      <c r="K3" s="479"/>
      <c r="L3" s="479"/>
      <c r="M3" s="479"/>
      <c r="N3" s="479"/>
      <c r="O3" s="76"/>
      <c r="P3" s="76"/>
      <c r="Q3" s="76"/>
      <c r="R3" s="76"/>
      <c r="S3" s="76"/>
      <c r="T3" s="76"/>
      <c r="U3" s="76"/>
      <c r="V3" s="76"/>
    </row>
    <row r="4" spans="6:22" ht="21.75" customHeight="1">
      <c r="F4" s="479" t="s">
        <v>259</v>
      </c>
      <c r="G4" s="479"/>
      <c r="H4" s="479"/>
      <c r="I4" s="479"/>
      <c r="J4" s="479"/>
      <c r="K4" s="479"/>
      <c r="L4" s="479"/>
      <c r="M4" s="479"/>
      <c r="N4" s="479"/>
      <c r="O4" s="76"/>
      <c r="P4" s="76"/>
      <c r="Q4" s="76"/>
      <c r="R4" s="76"/>
      <c r="S4" s="76"/>
      <c r="T4" s="76"/>
      <c r="U4" s="76"/>
      <c r="V4" s="76"/>
    </row>
    <row r="5" spans="6:22" ht="19.5" customHeight="1">
      <c r="F5" s="479" t="s">
        <v>260</v>
      </c>
      <c r="G5" s="479"/>
      <c r="H5" s="479"/>
      <c r="I5" s="479"/>
      <c r="J5" s="479"/>
      <c r="K5" s="479"/>
      <c r="L5" s="479"/>
      <c r="M5" s="479"/>
      <c r="N5" s="479"/>
      <c r="O5" s="76"/>
      <c r="P5" s="76"/>
      <c r="Q5" s="76"/>
      <c r="R5" s="76"/>
      <c r="S5" s="76"/>
      <c r="T5" s="76"/>
      <c r="U5" s="76"/>
      <c r="V5" s="76"/>
    </row>
    <row r="6" spans="5:6" ht="12.75">
      <c r="E6" s="479"/>
      <c r="F6" s="479"/>
    </row>
    <row r="7" spans="1:22" ht="12.75">
      <c r="A7" s="484" t="s">
        <v>97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361"/>
      <c r="P7" s="361"/>
      <c r="Q7" s="361"/>
      <c r="R7" s="361"/>
      <c r="S7" s="361"/>
      <c r="T7" s="361"/>
      <c r="U7" s="361"/>
      <c r="V7" s="361"/>
    </row>
    <row r="8" spans="1:22" ht="12.75">
      <c r="A8" s="492" t="s">
        <v>98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362"/>
      <c r="P8" s="362"/>
      <c r="Q8" s="362"/>
      <c r="R8" s="362"/>
      <c r="S8" s="362"/>
      <c r="T8" s="362"/>
      <c r="U8" s="362"/>
      <c r="V8" s="362"/>
    </row>
    <row r="9" spans="1:6" ht="12.75">
      <c r="A9" s="348"/>
      <c r="B9" s="348"/>
      <c r="C9" s="348"/>
      <c r="D9" s="348"/>
      <c r="E9" s="348"/>
      <c r="F9" s="348"/>
    </row>
    <row r="10" spans="1:22" ht="15.75" customHeight="1">
      <c r="A10" s="478" t="s">
        <v>289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</row>
    <row r="11" spans="1:10" ht="13.5" customHeight="1">
      <c r="A11" s="478" t="s">
        <v>261</v>
      </c>
      <c r="B11" s="478"/>
      <c r="C11" s="478"/>
      <c r="D11" s="478"/>
      <c r="E11" s="478"/>
      <c r="F11" s="478"/>
      <c r="G11" s="17"/>
      <c r="H11" s="16"/>
      <c r="I11" s="17"/>
      <c r="J11" s="16"/>
    </row>
    <row r="12" spans="1:10" ht="13.5" customHeight="1">
      <c r="A12" s="478" t="s">
        <v>262</v>
      </c>
      <c r="B12" s="478"/>
      <c r="C12" s="478"/>
      <c r="D12" s="478"/>
      <c r="E12" s="478"/>
      <c r="F12" s="478"/>
      <c r="G12" s="17"/>
      <c r="H12" s="16"/>
      <c r="I12" s="17"/>
      <c r="J12" s="16"/>
    </row>
    <row r="13" spans="1:14" ht="12.75">
      <c r="A13" s="446" t="s">
        <v>91</v>
      </c>
      <c r="B13" s="516" t="s">
        <v>99</v>
      </c>
      <c r="C13" s="516"/>
      <c r="D13" s="516"/>
      <c r="E13" s="516"/>
      <c r="F13" s="516"/>
      <c r="G13" s="516"/>
      <c r="H13" s="516"/>
      <c r="I13" s="516"/>
      <c r="J13" s="516"/>
      <c r="K13" s="516"/>
      <c r="L13" s="446"/>
      <c r="M13" s="446"/>
      <c r="N13" s="446"/>
    </row>
    <row r="14" spans="1:14" ht="12.75">
      <c r="A14" s="544" t="s">
        <v>100</v>
      </c>
      <c r="B14" s="544" t="s">
        <v>101</v>
      </c>
      <c r="C14" s="544" t="s">
        <v>102</v>
      </c>
      <c r="D14" s="544" t="s">
        <v>103</v>
      </c>
      <c r="E14" s="545" t="s">
        <v>104</v>
      </c>
      <c r="F14" s="546"/>
      <c r="G14" s="546"/>
      <c r="H14" s="546"/>
      <c r="I14" s="546"/>
      <c r="J14" s="546"/>
      <c r="K14" s="546"/>
      <c r="L14" s="546"/>
      <c r="M14" s="546"/>
      <c r="N14" s="549" t="s">
        <v>105</v>
      </c>
    </row>
    <row r="15" spans="1:14" ht="12.75">
      <c r="A15" s="544"/>
      <c r="B15" s="544"/>
      <c r="C15" s="544"/>
      <c r="D15" s="544"/>
      <c r="E15" s="547"/>
      <c r="F15" s="548"/>
      <c r="G15" s="548"/>
      <c r="H15" s="548"/>
      <c r="I15" s="548"/>
      <c r="J15" s="548"/>
      <c r="K15" s="548"/>
      <c r="L15" s="548"/>
      <c r="M15" s="548"/>
      <c r="N15" s="550"/>
    </row>
    <row r="16" spans="1:14" ht="12.75">
      <c r="A16" s="420">
        <v>1</v>
      </c>
      <c r="B16" s="420">
        <v>2</v>
      </c>
      <c r="C16" s="420">
        <v>3</v>
      </c>
      <c r="D16" s="420">
        <v>4</v>
      </c>
      <c r="E16" s="530">
        <v>5</v>
      </c>
      <c r="F16" s="531"/>
      <c r="G16" s="531"/>
      <c r="H16" s="531"/>
      <c r="I16" s="531"/>
      <c r="J16" s="531"/>
      <c r="K16" s="531"/>
      <c r="L16" s="531"/>
      <c r="M16" s="531"/>
      <c r="N16" s="118">
        <v>6</v>
      </c>
    </row>
    <row r="17" spans="1:14" ht="12.75">
      <c r="A17" s="350"/>
      <c r="B17" s="350" t="s">
        <v>106</v>
      </c>
      <c r="C17" s="420"/>
      <c r="D17" s="447"/>
      <c r="E17" s="117"/>
      <c r="F17" s="117"/>
      <c r="G17" s="117"/>
      <c r="H17" s="117"/>
      <c r="I17" s="117"/>
      <c r="J17" s="117"/>
      <c r="K17" s="117"/>
      <c r="L17" s="117"/>
      <c r="M17" s="117"/>
      <c r="N17" s="118"/>
    </row>
    <row r="18" spans="1:14" ht="12.75">
      <c r="A18" s="421"/>
      <c r="B18" s="448" t="s">
        <v>107</v>
      </c>
      <c r="C18" s="449">
        <v>4</v>
      </c>
      <c r="D18" s="450"/>
      <c r="E18" s="119"/>
      <c r="F18" s="119"/>
      <c r="G18" s="119"/>
      <c r="H18" s="119"/>
      <c r="I18" s="119"/>
      <c r="J18" s="119"/>
      <c r="K18" s="119"/>
      <c r="L18" s="119"/>
      <c r="M18" s="119"/>
      <c r="N18" s="120"/>
    </row>
    <row r="19" spans="1:14" ht="12.75">
      <c r="A19" s="421"/>
      <c r="B19" s="448"/>
      <c r="C19" s="449"/>
      <c r="D19" s="451"/>
      <c r="E19" s="119"/>
      <c r="F19" s="119"/>
      <c r="G19" s="119"/>
      <c r="H19" s="119"/>
      <c r="I19" s="119"/>
      <c r="J19" s="119"/>
      <c r="K19" s="119"/>
      <c r="L19" s="119"/>
      <c r="M19" s="119"/>
      <c r="N19" s="120"/>
    </row>
    <row r="20" spans="1:14" ht="12.75">
      <c r="A20" s="532"/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4"/>
    </row>
    <row r="21" spans="1:14" ht="12.75">
      <c r="A21" s="535">
        <v>1</v>
      </c>
      <c r="B21" s="537" t="s">
        <v>216</v>
      </c>
      <c r="C21" s="422"/>
      <c r="D21" s="539" t="s">
        <v>108</v>
      </c>
      <c r="E21" s="540" t="s">
        <v>20</v>
      </c>
      <c r="F21" s="541"/>
      <c r="G21" s="541"/>
      <c r="H21" s="541"/>
      <c r="I21" s="541"/>
      <c r="J21" s="541"/>
      <c r="K21" s="541"/>
      <c r="L21" s="541"/>
      <c r="M21" s="541"/>
      <c r="N21" s="423"/>
    </row>
    <row r="22" spans="1:14" ht="12.75">
      <c r="A22" s="536"/>
      <c r="B22" s="538"/>
      <c r="C22" s="422"/>
      <c r="D22" s="539"/>
      <c r="E22" s="424">
        <v>3284</v>
      </c>
      <c r="F22" s="425" t="s">
        <v>109</v>
      </c>
      <c r="G22" s="426">
        <f>C18</f>
        <v>4</v>
      </c>
      <c r="H22" s="425" t="s">
        <v>109</v>
      </c>
      <c r="I22" s="425">
        <f>C26</f>
        <v>1.1</v>
      </c>
      <c r="J22" s="425" t="s">
        <v>109</v>
      </c>
      <c r="K22" s="116">
        <f>C25</f>
        <v>1.55</v>
      </c>
      <c r="L22" s="425"/>
      <c r="M22" s="116"/>
      <c r="N22" s="126">
        <f>E22*I22*G22*K22</f>
        <v>22396.88</v>
      </c>
    </row>
    <row r="23" spans="1:14" ht="12.75">
      <c r="A23" s="536"/>
      <c r="B23" s="538"/>
      <c r="C23" s="422"/>
      <c r="D23" s="539"/>
      <c r="E23" s="427"/>
      <c r="F23" s="428"/>
      <c r="G23" s="428"/>
      <c r="H23" s="428"/>
      <c r="I23" s="428"/>
      <c r="J23" s="428"/>
      <c r="K23" s="428"/>
      <c r="L23" s="428"/>
      <c r="M23" s="428"/>
      <c r="N23" s="429"/>
    </row>
    <row r="24" spans="1:14" ht="12.75">
      <c r="A24" s="536"/>
      <c r="B24" s="452" t="s">
        <v>110</v>
      </c>
      <c r="C24" s="422"/>
      <c r="D24" s="539"/>
      <c r="E24" s="424"/>
      <c r="F24" s="425"/>
      <c r="G24" s="425"/>
      <c r="H24" s="425"/>
      <c r="I24" s="425"/>
      <c r="J24" s="425"/>
      <c r="K24" s="425"/>
      <c r="L24" s="425"/>
      <c r="M24" s="425"/>
      <c r="N24" s="429"/>
    </row>
    <row r="25" spans="1:14" ht="12.75">
      <c r="A25" s="536"/>
      <c r="B25" s="452" t="s">
        <v>111</v>
      </c>
      <c r="C25" s="422">
        <v>1.55</v>
      </c>
      <c r="D25" s="539"/>
      <c r="E25" s="542" t="s">
        <v>21</v>
      </c>
      <c r="F25" s="543"/>
      <c r="G25" s="543"/>
      <c r="H25" s="543"/>
      <c r="I25" s="543"/>
      <c r="J25" s="543"/>
      <c r="K25" s="543"/>
      <c r="L25" s="543"/>
      <c r="M25" s="543"/>
      <c r="N25" s="429"/>
    </row>
    <row r="26" spans="1:14" ht="12.75">
      <c r="A26" s="536"/>
      <c r="B26" s="452" t="s">
        <v>112</v>
      </c>
      <c r="C26" s="422">
        <v>1.1</v>
      </c>
      <c r="D26" s="539"/>
      <c r="E26" s="424">
        <v>1067</v>
      </c>
      <c r="F26" s="425" t="s">
        <v>109</v>
      </c>
      <c r="G26" s="426">
        <f>G22</f>
        <v>4</v>
      </c>
      <c r="H26" s="425" t="s">
        <v>109</v>
      </c>
      <c r="I26" s="425">
        <f>C27</f>
        <v>1.2</v>
      </c>
      <c r="J26" s="425"/>
      <c r="K26" s="425"/>
      <c r="L26" s="425"/>
      <c r="M26" s="425"/>
      <c r="N26" s="126">
        <f>E26*I26*G26</f>
        <v>5121.6</v>
      </c>
    </row>
    <row r="27" spans="1:14" ht="12.75">
      <c r="A27" s="536"/>
      <c r="B27" s="452" t="s">
        <v>113</v>
      </c>
      <c r="C27" s="422">
        <v>1.2</v>
      </c>
      <c r="D27" s="539"/>
      <c r="E27" s="424"/>
      <c r="F27" s="425"/>
      <c r="G27" s="426"/>
      <c r="H27" s="425"/>
      <c r="I27" s="425"/>
      <c r="J27" s="425"/>
      <c r="K27" s="425"/>
      <c r="L27" s="425"/>
      <c r="M27" s="425"/>
      <c r="N27" s="126"/>
    </row>
    <row r="28" spans="1:14" ht="12.75">
      <c r="A28" s="536"/>
      <c r="B28" s="430"/>
      <c r="C28" s="422"/>
      <c r="D28" s="539"/>
      <c r="E28" s="424"/>
      <c r="F28" s="425"/>
      <c r="G28" s="425"/>
      <c r="H28" s="425"/>
      <c r="I28" s="425"/>
      <c r="J28" s="425"/>
      <c r="K28" s="425"/>
      <c r="L28" s="425"/>
      <c r="M28" s="425"/>
      <c r="N28" s="429"/>
    </row>
    <row r="29" spans="1:14" ht="12.75">
      <c r="A29" s="136"/>
      <c r="B29" s="431"/>
      <c r="C29" s="431"/>
      <c r="D29" s="432"/>
      <c r="E29" s="121"/>
      <c r="F29" s="121"/>
      <c r="G29" s="121"/>
      <c r="H29" s="121"/>
      <c r="I29" s="121"/>
      <c r="J29" s="121"/>
      <c r="K29" s="121"/>
      <c r="L29" s="121"/>
      <c r="M29" s="122" t="s">
        <v>114</v>
      </c>
      <c r="N29" s="123">
        <f>N30+N31</f>
        <v>27518.48</v>
      </c>
    </row>
    <row r="30" spans="1:14" ht="12.75">
      <c r="A30" s="433"/>
      <c r="B30" s="434"/>
      <c r="C30" s="434"/>
      <c r="D30" s="435"/>
      <c r="E30" s="124"/>
      <c r="F30" s="124"/>
      <c r="G30" s="124"/>
      <c r="H30" s="124"/>
      <c r="I30" s="124"/>
      <c r="J30" s="124"/>
      <c r="K30" s="124"/>
      <c r="L30" s="124"/>
      <c r="M30" s="125" t="s">
        <v>115</v>
      </c>
      <c r="N30" s="126">
        <f>N22</f>
        <v>22396.88</v>
      </c>
    </row>
    <row r="31" spans="1:14" ht="12.75">
      <c r="A31" s="436"/>
      <c r="B31" s="437"/>
      <c r="C31" s="437"/>
      <c r="D31" s="438"/>
      <c r="E31" s="127"/>
      <c r="F31" s="127"/>
      <c r="G31" s="127"/>
      <c r="H31" s="127"/>
      <c r="I31" s="127"/>
      <c r="J31" s="127"/>
      <c r="K31" s="127"/>
      <c r="L31" s="127"/>
      <c r="M31" s="128" t="s">
        <v>116</v>
      </c>
      <c r="N31" s="129">
        <f>N26</f>
        <v>5121.6</v>
      </c>
    </row>
    <row r="32" spans="1:14" ht="38.25">
      <c r="A32" s="436">
        <v>4</v>
      </c>
      <c r="B32" s="130" t="s">
        <v>117</v>
      </c>
      <c r="C32" s="439">
        <v>0.0375</v>
      </c>
      <c r="D32" s="130" t="s">
        <v>118</v>
      </c>
      <c r="E32" s="131">
        <v>3.75</v>
      </c>
      <c r="F32" s="132" t="s">
        <v>119</v>
      </c>
      <c r="G32" s="132" t="s">
        <v>120</v>
      </c>
      <c r="H32" s="523">
        <f>N30</f>
        <v>22397</v>
      </c>
      <c r="I32" s="524"/>
      <c r="J32" s="132"/>
      <c r="K32" s="133"/>
      <c r="L32" s="132"/>
      <c r="M32" s="134"/>
      <c r="N32" s="135">
        <f>(H32)*E32/100</f>
        <v>839.89</v>
      </c>
    </row>
    <row r="33" spans="1:14" ht="38.25">
      <c r="A33" s="436">
        <v>5</v>
      </c>
      <c r="B33" s="440" t="s">
        <v>121</v>
      </c>
      <c r="C33" s="441">
        <v>0.06</v>
      </c>
      <c r="D33" s="442" t="s">
        <v>277</v>
      </c>
      <c r="E33" s="136">
        <v>6</v>
      </c>
      <c r="F33" s="121" t="s">
        <v>119</v>
      </c>
      <c r="G33" s="121" t="s">
        <v>120</v>
      </c>
      <c r="H33" s="523">
        <f>N30+N32</f>
        <v>23237</v>
      </c>
      <c r="I33" s="524"/>
      <c r="J33" s="121"/>
      <c r="K33" s="137"/>
      <c r="L33" s="121"/>
      <c r="M33" s="137"/>
      <c r="N33" s="135">
        <f>(H33)*E33/100</f>
        <v>1394.22</v>
      </c>
    </row>
    <row r="34" spans="1:14" ht="12.75">
      <c r="A34" s="131"/>
      <c r="B34" s="443"/>
      <c r="C34" s="443"/>
      <c r="D34" s="444"/>
      <c r="E34" s="121"/>
      <c r="F34" s="121"/>
      <c r="G34" s="121"/>
      <c r="H34" s="121"/>
      <c r="I34" s="121"/>
      <c r="J34" s="121"/>
      <c r="K34" s="121"/>
      <c r="L34" s="121"/>
      <c r="M34" s="122" t="s">
        <v>122</v>
      </c>
      <c r="N34" s="135">
        <f>N29+N32+N33</f>
        <v>29752.59</v>
      </c>
    </row>
    <row r="35" spans="1:14" ht="63.75">
      <c r="A35" s="453">
        <v>6</v>
      </c>
      <c r="B35" s="525" t="s">
        <v>123</v>
      </c>
      <c r="C35" s="526"/>
      <c r="D35" s="445" t="s">
        <v>124</v>
      </c>
      <c r="E35" s="527">
        <f>N34</f>
        <v>29752.59</v>
      </c>
      <c r="F35" s="528"/>
      <c r="G35" s="529"/>
      <c r="H35" s="121"/>
      <c r="I35" s="121"/>
      <c r="J35" s="121" t="s">
        <v>109</v>
      </c>
      <c r="K35" s="139">
        <v>3.9</v>
      </c>
      <c r="L35" s="121"/>
      <c r="M35" s="121"/>
      <c r="N35" s="135">
        <f>E35*K35</f>
        <v>116035.1</v>
      </c>
    </row>
    <row r="36" spans="1:14" ht="12.75">
      <c r="A36" s="517"/>
      <c r="B36" s="518"/>
      <c r="C36" s="518"/>
      <c r="D36" s="518"/>
      <c r="E36" s="518"/>
      <c r="F36" s="140"/>
      <c r="G36" s="138"/>
      <c r="H36" s="132"/>
      <c r="I36" s="519" t="s">
        <v>125</v>
      </c>
      <c r="J36" s="519"/>
      <c r="K36" s="519"/>
      <c r="L36" s="519"/>
      <c r="M36" s="520"/>
      <c r="N36" s="135">
        <f>N35</f>
        <v>116035.1</v>
      </c>
    </row>
    <row r="37" spans="1:14" ht="12.75">
      <c r="A37" s="454"/>
      <c r="B37" s="141" t="s">
        <v>19</v>
      </c>
      <c r="C37" s="142"/>
      <c r="D37" s="455">
        <v>1</v>
      </c>
      <c r="E37" s="456"/>
      <c r="F37" s="457"/>
      <c r="G37" s="457"/>
      <c r="H37" s="143"/>
      <c r="I37" s="143"/>
      <c r="J37" s="143"/>
      <c r="K37" s="143"/>
      <c r="L37" s="143"/>
      <c r="M37" s="144"/>
      <c r="N37" s="145">
        <f>ROUND(N36*D37,2)</f>
        <v>116035.1</v>
      </c>
    </row>
    <row r="38" spans="1:14" ht="12.75">
      <c r="A38" s="517"/>
      <c r="B38" s="518"/>
      <c r="C38" s="518"/>
      <c r="D38" s="518"/>
      <c r="E38" s="518"/>
      <c r="F38" s="140"/>
      <c r="G38" s="138"/>
      <c r="H38" s="132"/>
      <c r="I38" s="519" t="s">
        <v>126</v>
      </c>
      <c r="J38" s="519"/>
      <c r="K38" s="519"/>
      <c r="L38" s="519"/>
      <c r="M38" s="520"/>
      <c r="N38" s="135">
        <f>N37*18%</f>
        <v>20886.32</v>
      </c>
    </row>
    <row r="39" spans="1:14" ht="12.75">
      <c r="A39" s="517"/>
      <c r="B39" s="518"/>
      <c r="C39" s="518"/>
      <c r="D39" s="518"/>
      <c r="E39" s="518"/>
      <c r="F39" s="140"/>
      <c r="G39" s="521" t="s">
        <v>127</v>
      </c>
      <c r="H39" s="521"/>
      <c r="I39" s="521"/>
      <c r="J39" s="521"/>
      <c r="K39" s="521"/>
      <c r="L39" s="521"/>
      <c r="M39" s="522"/>
      <c r="N39" s="135">
        <f>N37+N38</f>
        <v>136921.42</v>
      </c>
    </row>
    <row r="40" spans="1:14" ht="12.75">
      <c r="A40" s="458"/>
      <c r="B40" s="146" t="s">
        <v>215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7"/>
      <c r="N40" s="148">
        <f>N39</f>
        <v>136921.42</v>
      </c>
    </row>
    <row r="42" spans="2:11" ht="12.75">
      <c r="B42" s="3" t="s">
        <v>263</v>
      </c>
      <c r="K42" s="3" t="s">
        <v>264</v>
      </c>
    </row>
    <row r="44" spans="2:4" ht="12.75">
      <c r="B44" s="417"/>
      <c r="C44" s="418"/>
      <c r="D44" s="418"/>
    </row>
    <row r="45" spans="2:4" ht="12.75">
      <c r="B45" s="418"/>
      <c r="C45" s="418"/>
      <c r="D45" s="418"/>
    </row>
    <row r="46" spans="2:4" ht="12.75">
      <c r="B46" s="418"/>
      <c r="C46" s="418"/>
      <c r="D46" s="418"/>
    </row>
    <row r="47" spans="2:4" ht="12.75">
      <c r="B47" s="419"/>
      <c r="C47" s="418"/>
      <c r="D47" s="418"/>
    </row>
  </sheetData>
  <sheetProtection/>
  <mergeCells count="35">
    <mergeCell ref="A14:A15"/>
    <mergeCell ref="B14:B15"/>
    <mergeCell ref="C14:C15"/>
    <mergeCell ref="D14:D15"/>
    <mergeCell ref="E14:M15"/>
    <mergeCell ref="N14:N15"/>
    <mergeCell ref="E16:M16"/>
    <mergeCell ref="A20:N20"/>
    <mergeCell ref="A21:A28"/>
    <mergeCell ref="B21:B23"/>
    <mergeCell ref="D21:D28"/>
    <mergeCell ref="E21:M21"/>
    <mergeCell ref="E25:M25"/>
    <mergeCell ref="A38:E38"/>
    <mergeCell ref="I38:M38"/>
    <mergeCell ref="A39:E39"/>
    <mergeCell ref="G39:M39"/>
    <mergeCell ref="H32:I32"/>
    <mergeCell ref="H33:I33"/>
    <mergeCell ref="B35:C35"/>
    <mergeCell ref="E35:G35"/>
    <mergeCell ref="A36:E36"/>
    <mergeCell ref="I36:M36"/>
    <mergeCell ref="F1:N1"/>
    <mergeCell ref="F2:N2"/>
    <mergeCell ref="F3:N3"/>
    <mergeCell ref="F4:N4"/>
    <mergeCell ref="F5:N5"/>
    <mergeCell ref="E6:F6"/>
    <mergeCell ref="A7:N7"/>
    <mergeCell ref="A8:N8"/>
    <mergeCell ref="A10:V10"/>
    <mergeCell ref="A11:F11"/>
    <mergeCell ref="A12:F12"/>
    <mergeCell ref="B13:K1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0" sqref="A10:N10"/>
    </sheetView>
  </sheetViews>
  <sheetFormatPr defaultColWidth="9.00390625" defaultRowHeight="12.75"/>
  <cols>
    <col min="1" max="1" width="4.375" style="3" customWidth="1"/>
    <col min="2" max="2" width="39.00390625" style="3" customWidth="1"/>
    <col min="3" max="3" width="14.00390625" style="3" customWidth="1"/>
    <col min="4" max="4" width="19.75390625" style="3" customWidth="1"/>
    <col min="5" max="5" width="5.125" style="3" customWidth="1"/>
    <col min="6" max="6" width="1.75390625" style="3" customWidth="1"/>
    <col min="7" max="7" width="5.125" style="3" customWidth="1"/>
    <col min="8" max="8" width="2.125" style="3" customWidth="1"/>
    <col min="9" max="9" width="6.25390625" style="3" customWidth="1"/>
    <col min="10" max="10" width="1.75390625" style="3" customWidth="1"/>
    <col min="11" max="11" width="3.125" style="3" customWidth="1"/>
    <col min="12" max="12" width="1.37890625" style="3" customWidth="1"/>
    <col min="13" max="13" width="11.125" style="3" customWidth="1"/>
    <col min="14" max="14" width="14.00390625" style="3" customWidth="1"/>
    <col min="15" max="16384" width="9.125" style="3" customWidth="1"/>
  </cols>
  <sheetData>
    <row r="1" spans="1:15" ht="15" customHeight="1">
      <c r="A1" s="461"/>
      <c r="B1" s="461"/>
      <c r="C1" s="461"/>
      <c r="D1" s="461"/>
      <c r="E1" s="461"/>
      <c r="F1" s="575" t="s">
        <v>256</v>
      </c>
      <c r="G1" s="575"/>
      <c r="H1" s="575"/>
      <c r="I1" s="575"/>
      <c r="J1" s="575"/>
      <c r="K1" s="575"/>
      <c r="L1" s="575"/>
      <c r="M1" s="575"/>
      <c r="N1" s="575"/>
      <c r="O1" s="575"/>
    </row>
    <row r="2" spans="1:15" ht="15" customHeight="1">
      <c r="A2" s="461"/>
      <c r="B2" s="461"/>
      <c r="C2" s="461"/>
      <c r="D2" s="461"/>
      <c r="E2" s="461"/>
      <c r="F2" s="576" t="s">
        <v>257</v>
      </c>
      <c r="G2" s="576"/>
      <c r="H2" s="576"/>
      <c r="I2" s="576"/>
      <c r="J2" s="576"/>
      <c r="K2" s="576"/>
      <c r="L2" s="576"/>
      <c r="M2" s="576"/>
      <c r="N2" s="576"/>
      <c r="O2" s="576"/>
    </row>
    <row r="3" spans="1:15" ht="15" customHeight="1">
      <c r="A3" s="461"/>
      <c r="B3" s="461"/>
      <c r="C3" s="461"/>
      <c r="D3" s="461"/>
      <c r="E3" s="461"/>
      <c r="F3" s="587" t="s">
        <v>258</v>
      </c>
      <c r="G3" s="587"/>
      <c r="H3" s="587"/>
      <c r="I3" s="587"/>
      <c r="J3" s="587"/>
      <c r="K3" s="587"/>
      <c r="L3" s="587"/>
      <c r="M3" s="587"/>
      <c r="N3" s="587"/>
      <c r="O3" s="587"/>
    </row>
    <row r="4" spans="1:15" ht="24.75" customHeight="1">
      <c r="A4" s="461"/>
      <c r="B4" s="461"/>
      <c r="C4" s="461"/>
      <c r="D4" s="461"/>
      <c r="E4" s="461"/>
      <c r="F4" s="587" t="s">
        <v>259</v>
      </c>
      <c r="G4" s="587"/>
      <c r="H4" s="587"/>
      <c r="I4" s="587"/>
      <c r="J4" s="587"/>
      <c r="K4" s="587"/>
      <c r="L4" s="587"/>
      <c r="M4" s="587"/>
      <c r="N4" s="587"/>
      <c r="O4" s="587"/>
    </row>
    <row r="5" spans="1:15" ht="24.75" customHeight="1">
      <c r="A5" s="461"/>
      <c r="B5" s="461"/>
      <c r="C5" s="461"/>
      <c r="D5" s="461"/>
      <c r="E5" s="461"/>
      <c r="F5" s="587" t="s">
        <v>260</v>
      </c>
      <c r="G5" s="587"/>
      <c r="H5" s="587"/>
      <c r="I5" s="587"/>
      <c r="J5" s="587"/>
      <c r="K5" s="587"/>
      <c r="L5" s="587"/>
      <c r="M5" s="587"/>
      <c r="N5" s="587"/>
      <c r="O5" s="587"/>
    </row>
    <row r="6" spans="1:14" ht="12.75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</row>
    <row r="7" spans="1:14" ht="12.75">
      <c r="A7" s="588" t="s">
        <v>278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</row>
    <row r="8" spans="1:14" ht="12.75">
      <c r="A8" s="589" t="s">
        <v>279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</row>
    <row r="9" spans="1:14" ht="12.75">
      <c r="A9" s="460"/>
      <c r="B9" s="460"/>
      <c r="C9" s="459"/>
      <c r="D9" s="459"/>
      <c r="E9" s="460"/>
      <c r="F9" s="460"/>
      <c r="G9" s="460"/>
      <c r="H9" s="460"/>
      <c r="I9" s="460"/>
      <c r="J9" s="460"/>
      <c r="K9" s="460"/>
      <c r="L9" s="460"/>
      <c r="M9" s="460"/>
      <c r="N9" s="460"/>
    </row>
    <row r="10" spans="1:14" ht="15" customHeight="1">
      <c r="A10" s="590" t="s">
        <v>290</v>
      </c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</row>
    <row r="11" spans="1:14" ht="15" customHeight="1">
      <c r="A11" s="586" t="s">
        <v>261</v>
      </c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</row>
    <row r="12" spans="1:14" ht="15" customHeight="1">
      <c r="A12" s="586" t="s">
        <v>262</v>
      </c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</row>
    <row r="13" spans="1:14" ht="12.75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</row>
    <row r="14" spans="1:14" ht="12.75">
      <c r="A14" s="565" t="s">
        <v>27</v>
      </c>
      <c r="B14" s="565" t="s">
        <v>101</v>
      </c>
      <c r="C14" s="565" t="s">
        <v>128</v>
      </c>
      <c r="D14" s="565" t="s">
        <v>129</v>
      </c>
      <c r="E14" s="577"/>
      <c r="F14" s="578"/>
      <c r="G14" s="578"/>
      <c r="H14" s="578"/>
      <c r="I14" s="578"/>
      <c r="J14" s="578"/>
      <c r="K14" s="578"/>
      <c r="L14" s="579"/>
      <c r="M14" s="565" t="s">
        <v>30</v>
      </c>
      <c r="N14" s="565"/>
    </row>
    <row r="15" spans="1:14" ht="12.75">
      <c r="A15" s="565"/>
      <c r="B15" s="565"/>
      <c r="C15" s="565"/>
      <c r="D15" s="565"/>
      <c r="E15" s="580"/>
      <c r="F15" s="581"/>
      <c r="G15" s="581"/>
      <c r="H15" s="581"/>
      <c r="I15" s="581"/>
      <c r="J15" s="581"/>
      <c r="K15" s="581"/>
      <c r="L15" s="582"/>
      <c r="M15" s="565">
        <v>44.19</v>
      </c>
      <c r="N15" s="565"/>
    </row>
    <row r="16" spans="1:14" ht="12.75">
      <c r="A16" s="565"/>
      <c r="B16" s="565"/>
      <c r="C16" s="565"/>
      <c r="D16" s="565"/>
      <c r="E16" s="583"/>
      <c r="F16" s="584"/>
      <c r="G16" s="584"/>
      <c r="H16" s="584"/>
      <c r="I16" s="584"/>
      <c r="J16" s="584"/>
      <c r="K16" s="584"/>
      <c r="L16" s="585"/>
      <c r="M16" s="351" t="s">
        <v>130</v>
      </c>
      <c r="N16" s="351" t="s">
        <v>131</v>
      </c>
    </row>
    <row r="17" spans="1:14" ht="12.75">
      <c r="A17" s="149"/>
      <c r="B17" s="565" t="s">
        <v>132</v>
      </c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</row>
    <row r="18" spans="1:14" ht="12.75">
      <c r="A18" s="569" t="s">
        <v>133</v>
      </c>
      <c r="B18" s="570"/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</row>
    <row r="19" spans="1:14" ht="12.75">
      <c r="A19" s="150"/>
      <c r="B19" s="550" t="s">
        <v>23</v>
      </c>
      <c r="C19" s="550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2"/>
    </row>
    <row r="20" spans="1:14" ht="12.75">
      <c r="A20" s="153"/>
      <c r="B20" s="154" t="s">
        <v>134</v>
      </c>
      <c r="C20" s="155">
        <v>1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6"/>
    </row>
    <row r="21" spans="1:14" ht="12.75">
      <c r="A21" s="153"/>
      <c r="B21" s="154" t="s">
        <v>135</v>
      </c>
      <c r="C21" s="157">
        <f>M15</f>
        <v>44.19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6"/>
    </row>
    <row r="22" spans="1:14" ht="12.75">
      <c r="A22" s="158"/>
      <c r="B22" s="154" t="s">
        <v>136</v>
      </c>
      <c r="C22" s="157">
        <v>4</v>
      </c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6"/>
    </row>
    <row r="23" spans="1:14" ht="12.75">
      <c r="A23" s="158"/>
      <c r="B23" s="159" t="s">
        <v>137</v>
      </c>
      <c r="C23" s="157">
        <v>10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6"/>
    </row>
    <row r="24" spans="1:14" ht="12.75">
      <c r="A24" s="158"/>
      <c r="B24" s="160" t="s">
        <v>138</v>
      </c>
      <c r="C24" s="157">
        <f>C22</f>
        <v>4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6"/>
    </row>
    <row r="25" spans="1:14" ht="12.75">
      <c r="A25" s="158"/>
      <c r="B25" s="161" t="s">
        <v>139</v>
      </c>
      <c r="C25" s="157">
        <f>C22*C23</f>
        <v>40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62"/>
    </row>
    <row r="26" spans="1:14" ht="12.75">
      <c r="A26" s="571" t="s">
        <v>140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</row>
    <row r="27" spans="1:14" ht="63.75">
      <c r="A27" s="163">
        <v>1</v>
      </c>
      <c r="B27" s="354" t="s">
        <v>141</v>
      </c>
      <c r="C27" s="164" t="s">
        <v>142</v>
      </c>
      <c r="D27" s="165"/>
      <c r="E27" s="163">
        <f>18.4</f>
        <v>18.4</v>
      </c>
      <c r="F27" s="166" t="s">
        <v>11</v>
      </c>
      <c r="G27" s="166">
        <f>C24</f>
        <v>4</v>
      </c>
      <c r="H27" s="166" t="s">
        <v>11</v>
      </c>
      <c r="I27" s="166">
        <v>0.5</v>
      </c>
      <c r="J27" s="166"/>
      <c r="K27" s="166"/>
      <c r="L27" s="167"/>
      <c r="M27" s="166">
        <f>E27*0.5*C24</f>
        <v>36.8</v>
      </c>
      <c r="N27" s="165">
        <f>ROUND((M27*$M$15),2)</f>
        <v>1626.19</v>
      </c>
    </row>
    <row r="28" spans="1:14" ht="12.75">
      <c r="A28" s="168"/>
      <c r="B28" s="169">
        <f>C24</f>
        <v>4</v>
      </c>
      <c r="C28" s="170"/>
      <c r="D28" s="171"/>
      <c r="E28" s="168"/>
      <c r="F28" s="172"/>
      <c r="G28" s="172"/>
      <c r="H28" s="172"/>
      <c r="I28" s="172"/>
      <c r="J28" s="172"/>
      <c r="K28" s="172"/>
      <c r="L28" s="173"/>
      <c r="M28" s="172"/>
      <c r="N28" s="171"/>
    </row>
    <row r="29" spans="1:14" ht="25.5">
      <c r="A29" s="171">
        <v>2</v>
      </c>
      <c r="B29" s="169" t="s">
        <v>143</v>
      </c>
      <c r="C29" s="169" t="s">
        <v>144</v>
      </c>
      <c r="D29" s="168"/>
      <c r="E29" s="174">
        <f>E27</f>
        <v>18.4</v>
      </c>
      <c r="F29" s="175" t="s">
        <v>11</v>
      </c>
      <c r="G29" s="175">
        <f>C24</f>
        <v>4</v>
      </c>
      <c r="H29" s="175"/>
      <c r="I29" s="175"/>
      <c r="J29" s="175"/>
      <c r="K29" s="175"/>
      <c r="L29" s="176"/>
      <c r="M29" s="173">
        <f>E29*G29</f>
        <v>73.6</v>
      </c>
      <c r="N29" s="171">
        <f>ROUND((M29*$M$15),2)</f>
        <v>3252.38</v>
      </c>
    </row>
    <row r="30" spans="1:14" ht="25.5">
      <c r="A30" s="165">
        <v>3</v>
      </c>
      <c r="B30" s="177" t="s">
        <v>145</v>
      </c>
      <c r="C30" s="158" t="s">
        <v>146</v>
      </c>
      <c r="D30" s="178"/>
      <c r="E30" s="178">
        <f>C25</f>
        <v>40</v>
      </c>
      <c r="F30" s="179" t="s">
        <v>11</v>
      </c>
      <c r="G30" s="179">
        <v>38.4</v>
      </c>
      <c r="H30" s="179"/>
      <c r="I30" s="179"/>
      <c r="J30" s="179"/>
      <c r="K30" s="179"/>
      <c r="L30" s="180"/>
      <c r="M30" s="181">
        <f>C25*G30</f>
        <v>1536</v>
      </c>
      <c r="N30" s="165">
        <f>ROUND((M30*$M$15),2)</f>
        <v>67875.84</v>
      </c>
    </row>
    <row r="31" spans="1:14" ht="25.5">
      <c r="A31" s="163">
        <v>4</v>
      </c>
      <c r="B31" s="177" t="s">
        <v>147</v>
      </c>
      <c r="C31" s="179" t="s">
        <v>148</v>
      </c>
      <c r="D31" s="158"/>
      <c r="E31" s="179">
        <f>22.9</f>
        <v>22.9</v>
      </c>
      <c r="F31" s="179" t="s">
        <v>11</v>
      </c>
      <c r="G31" s="179">
        <f>B32</f>
        <v>20</v>
      </c>
      <c r="H31" s="179"/>
      <c r="I31" s="179"/>
      <c r="J31" s="179"/>
      <c r="K31" s="179"/>
      <c r="L31" s="179"/>
      <c r="M31" s="182">
        <f>22.9*35</f>
        <v>801.5</v>
      </c>
      <c r="N31" s="167">
        <f>ROUND((M31*$M$15),2)</f>
        <v>35418.29</v>
      </c>
    </row>
    <row r="32" spans="1:14" ht="12.75">
      <c r="A32" s="168"/>
      <c r="B32" s="183">
        <f>ROUND(C25/2,0)</f>
        <v>20</v>
      </c>
      <c r="C32" s="184"/>
      <c r="D32" s="150"/>
      <c r="E32" s="184"/>
      <c r="F32" s="184"/>
      <c r="G32" s="184"/>
      <c r="H32" s="184"/>
      <c r="I32" s="184"/>
      <c r="J32" s="184"/>
      <c r="K32" s="184"/>
      <c r="L32" s="184"/>
      <c r="M32" s="185"/>
      <c r="N32" s="173"/>
    </row>
    <row r="33" spans="1:14" ht="12.75">
      <c r="A33" s="171">
        <v>6</v>
      </c>
      <c r="B33" s="555" t="s">
        <v>149</v>
      </c>
      <c r="C33" s="555"/>
      <c r="D33" s="551"/>
      <c r="E33" s="355"/>
      <c r="F33" s="357"/>
      <c r="G33" s="357"/>
      <c r="H33" s="357"/>
      <c r="I33" s="357"/>
      <c r="J33" s="357"/>
      <c r="K33" s="357"/>
      <c r="L33" s="186"/>
      <c r="M33" s="187">
        <f>SUM(M27:M32)</f>
        <v>2447.9</v>
      </c>
      <c r="N33" s="188">
        <f>SUM(N27:N32)</f>
        <v>108172.7</v>
      </c>
    </row>
    <row r="34" spans="1:14" ht="25.5">
      <c r="A34" s="149">
        <v>7</v>
      </c>
      <c r="B34" s="189" t="s">
        <v>150</v>
      </c>
      <c r="C34" s="150" t="s">
        <v>151</v>
      </c>
      <c r="D34" s="190" t="s">
        <v>152</v>
      </c>
      <c r="E34" s="573">
        <f>M33</f>
        <v>2447.9</v>
      </c>
      <c r="F34" s="574"/>
      <c r="G34" s="574"/>
      <c r="H34" s="191" t="s">
        <v>11</v>
      </c>
      <c r="I34" s="191">
        <v>0.875</v>
      </c>
      <c r="J34" s="191"/>
      <c r="K34" s="191"/>
      <c r="L34" s="192"/>
      <c r="M34" s="193">
        <f>M33*I34</f>
        <v>2141.91</v>
      </c>
      <c r="N34" s="150">
        <f>ROUND((M34*$M$15),2)</f>
        <v>94651</v>
      </c>
    </row>
    <row r="35" spans="1:14" ht="38.25">
      <c r="A35" s="149">
        <v>8</v>
      </c>
      <c r="B35" s="194" t="s">
        <v>153</v>
      </c>
      <c r="C35" s="195" t="s">
        <v>154</v>
      </c>
      <c r="D35" s="196" t="s">
        <v>155</v>
      </c>
      <c r="E35" s="561">
        <f>M33+M34</f>
        <v>4589.81</v>
      </c>
      <c r="F35" s="562"/>
      <c r="G35" s="562"/>
      <c r="H35" s="197" t="s">
        <v>11</v>
      </c>
      <c r="I35" s="197">
        <v>0.06</v>
      </c>
      <c r="J35" s="197"/>
      <c r="K35" s="197"/>
      <c r="L35" s="198"/>
      <c r="M35" s="199">
        <f>(M33+M34)*0.06</f>
        <v>275.39</v>
      </c>
      <c r="N35" s="153">
        <f>ROUND((M35*$M$15),2)</f>
        <v>12169.48</v>
      </c>
    </row>
    <row r="36" spans="1:14" ht="12.75">
      <c r="A36" s="149">
        <v>9</v>
      </c>
      <c r="B36" s="563" t="s">
        <v>149</v>
      </c>
      <c r="C36" s="563"/>
      <c r="D36" s="564"/>
      <c r="E36" s="356"/>
      <c r="F36" s="200"/>
      <c r="G36" s="200"/>
      <c r="H36" s="200"/>
      <c r="I36" s="200"/>
      <c r="J36" s="200"/>
      <c r="K36" s="200"/>
      <c r="L36" s="201"/>
      <c r="M36" s="202">
        <f>SUM(M33:M35)</f>
        <v>4865.2</v>
      </c>
      <c r="N36" s="203">
        <f>SUM(N33:N35)</f>
        <v>214993.18</v>
      </c>
    </row>
    <row r="37" spans="1:14" ht="12.75">
      <c r="A37" s="149">
        <v>10</v>
      </c>
      <c r="B37" s="565" t="s">
        <v>156</v>
      </c>
      <c r="C37" s="565"/>
      <c r="D37" s="565"/>
      <c r="E37" s="557"/>
      <c r="F37" s="557"/>
      <c r="G37" s="557"/>
      <c r="H37" s="557"/>
      <c r="I37" s="557"/>
      <c r="J37" s="557"/>
      <c r="K37" s="557"/>
      <c r="L37" s="557"/>
      <c r="M37" s="565"/>
      <c r="N37" s="565"/>
    </row>
    <row r="38" spans="1:14" ht="25.5">
      <c r="A38" s="149">
        <v>11</v>
      </c>
      <c r="B38" s="204" t="s">
        <v>157</v>
      </c>
      <c r="C38" s="153" t="s">
        <v>158</v>
      </c>
      <c r="D38" s="205"/>
      <c r="E38" s="178">
        <f>C24</f>
        <v>4</v>
      </c>
      <c r="F38" s="179" t="s">
        <v>11</v>
      </c>
      <c r="G38" s="566">
        <v>220.2</v>
      </c>
      <c r="H38" s="566"/>
      <c r="I38" s="179"/>
      <c r="J38" s="179"/>
      <c r="K38" s="179"/>
      <c r="L38" s="180"/>
      <c r="M38" s="206">
        <f>E38*G38</f>
        <v>880.8</v>
      </c>
      <c r="N38" s="149">
        <f>ROUND((M38*$M$15),2)</f>
        <v>38922.55</v>
      </c>
    </row>
    <row r="39" spans="1:14" ht="25.5">
      <c r="A39" s="149">
        <v>12</v>
      </c>
      <c r="B39" s="204" t="s">
        <v>159</v>
      </c>
      <c r="C39" s="153" t="s">
        <v>160</v>
      </c>
      <c r="D39" s="205"/>
      <c r="E39" s="205">
        <f>C24</f>
        <v>4</v>
      </c>
      <c r="F39" s="207" t="s">
        <v>11</v>
      </c>
      <c r="G39" s="207">
        <v>48.4</v>
      </c>
      <c r="H39" s="143"/>
      <c r="I39" s="207"/>
      <c r="J39" s="207"/>
      <c r="K39" s="207"/>
      <c r="L39" s="208"/>
      <c r="M39" s="206">
        <f>E39*G39</f>
        <v>193.6</v>
      </c>
      <c r="N39" s="149">
        <f>ROUND((M39*$M$15),2)</f>
        <v>8555.18</v>
      </c>
    </row>
    <row r="40" spans="1:14" ht="25.5">
      <c r="A40" s="149">
        <v>13</v>
      </c>
      <c r="B40" s="209" t="s">
        <v>161</v>
      </c>
      <c r="C40" s="209" t="s">
        <v>162</v>
      </c>
      <c r="D40" s="210"/>
      <c r="E40" s="211">
        <f>C24</f>
        <v>4</v>
      </c>
      <c r="F40" s="212" t="s">
        <v>11</v>
      </c>
      <c r="G40" s="212">
        <v>25.4</v>
      </c>
      <c r="H40" s="212"/>
      <c r="I40" s="212"/>
      <c r="J40" s="212"/>
      <c r="K40" s="212"/>
      <c r="L40" s="213"/>
      <c r="M40" s="206">
        <f>E40*G40</f>
        <v>101.6</v>
      </c>
      <c r="N40" s="149">
        <f>ROUND((M40*$M$15),2)</f>
        <v>4489.7</v>
      </c>
    </row>
    <row r="41" spans="1:14" ht="12.75">
      <c r="A41" s="149">
        <v>14</v>
      </c>
      <c r="B41" s="555" t="s">
        <v>163</v>
      </c>
      <c r="C41" s="555"/>
      <c r="D41" s="551"/>
      <c r="E41" s="357"/>
      <c r="F41" s="357"/>
      <c r="G41" s="357"/>
      <c r="H41" s="357"/>
      <c r="I41" s="357"/>
      <c r="J41" s="357"/>
      <c r="K41" s="357"/>
      <c r="L41" s="357"/>
      <c r="M41" s="214">
        <f>SUM(M38:M40)</f>
        <v>1176</v>
      </c>
      <c r="N41" s="215">
        <f>SUM(N38:N40)</f>
        <v>51967.43</v>
      </c>
    </row>
    <row r="42" spans="1:14" ht="12.75">
      <c r="A42" s="149">
        <v>15</v>
      </c>
      <c r="B42" s="567" t="s">
        <v>164</v>
      </c>
      <c r="C42" s="567"/>
      <c r="D42" s="567"/>
      <c r="E42" s="568"/>
      <c r="F42" s="568"/>
      <c r="G42" s="568"/>
      <c r="H42" s="568"/>
      <c r="I42" s="568"/>
      <c r="J42" s="568"/>
      <c r="K42" s="568"/>
      <c r="L42" s="568"/>
      <c r="M42" s="567"/>
      <c r="N42" s="567"/>
    </row>
    <row r="43" spans="1:14" ht="25.5">
      <c r="A43" s="149">
        <v>16</v>
      </c>
      <c r="B43" s="353" t="s">
        <v>165</v>
      </c>
      <c r="C43" s="216" t="s">
        <v>166</v>
      </c>
      <c r="D43" s="217"/>
      <c r="E43" s="218">
        <f>C25</f>
        <v>40</v>
      </c>
      <c r="F43" s="219" t="s">
        <v>11</v>
      </c>
      <c r="G43" s="219">
        <v>9</v>
      </c>
      <c r="H43" s="219"/>
      <c r="I43" s="219"/>
      <c r="J43" s="219"/>
      <c r="K43" s="219"/>
      <c r="L43" s="220"/>
      <c r="M43" s="221">
        <f>E43*9</f>
        <v>360</v>
      </c>
      <c r="N43" s="149">
        <f>ROUND((M43*$M$15),2)</f>
        <v>15908.4</v>
      </c>
    </row>
    <row r="44" spans="1:14" ht="12.75">
      <c r="A44" s="149">
        <v>17</v>
      </c>
      <c r="B44" s="352" t="s">
        <v>167</v>
      </c>
      <c r="C44" s="153" t="s">
        <v>168</v>
      </c>
      <c r="D44" s="222"/>
      <c r="E44" s="222">
        <f>E43</f>
        <v>40</v>
      </c>
      <c r="F44" s="223" t="s">
        <v>11</v>
      </c>
      <c r="G44" s="223">
        <v>8.2</v>
      </c>
      <c r="H44" s="223"/>
      <c r="I44" s="223"/>
      <c r="J44" s="223"/>
      <c r="K44" s="223"/>
      <c r="L44" s="224"/>
      <c r="M44" s="225">
        <f>E44*8.2</f>
        <v>328</v>
      </c>
      <c r="N44" s="149">
        <f>ROUND((M44*$M$15),2)</f>
        <v>14494.32</v>
      </c>
    </row>
    <row r="45" spans="1:14" ht="25.5">
      <c r="A45" s="149">
        <v>18</v>
      </c>
      <c r="B45" s="352" t="s">
        <v>169</v>
      </c>
      <c r="C45" s="226" t="s">
        <v>170</v>
      </c>
      <c r="D45" s="227"/>
      <c r="E45" s="553">
        <f>M41</f>
        <v>1176</v>
      </c>
      <c r="F45" s="554"/>
      <c r="G45" s="554"/>
      <c r="H45" s="228" t="s">
        <v>11</v>
      </c>
      <c r="I45" s="228">
        <v>0.2</v>
      </c>
      <c r="J45" s="228"/>
      <c r="K45" s="228"/>
      <c r="L45" s="229"/>
      <c r="M45" s="230">
        <f>E45*I45</f>
        <v>235.2</v>
      </c>
      <c r="N45" s="149">
        <f>ROUND((M45*$M$15),2)</f>
        <v>10393.49</v>
      </c>
    </row>
    <row r="46" spans="1:14" ht="12.75">
      <c r="A46" s="149">
        <v>19</v>
      </c>
      <c r="B46" s="555" t="s">
        <v>171</v>
      </c>
      <c r="C46" s="555"/>
      <c r="D46" s="551"/>
      <c r="E46" s="357"/>
      <c r="F46" s="357"/>
      <c r="G46" s="357"/>
      <c r="H46" s="357"/>
      <c r="I46" s="357"/>
      <c r="J46" s="357"/>
      <c r="K46" s="357"/>
      <c r="L46" s="357"/>
      <c r="M46" s="231">
        <f>SUM(M43:M45)</f>
        <v>923.2</v>
      </c>
      <c r="N46" s="215">
        <f>SUM(N43:N45)</f>
        <v>40796.21</v>
      </c>
    </row>
    <row r="47" spans="1:14" ht="12.75">
      <c r="A47" s="149">
        <v>20</v>
      </c>
      <c r="B47" s="556" t="s">
        <v>172</v>
      </c>
      <c r="C47" s="556"/>
      <c r="D47" s="556"/>
      <c r="E47" s="557"/>
      <c r="F47" s="557"/>
      <c r="G47" s="557"/>
      <c r="H47" s="557"/>
      <c r="I47" s="557"/>
      <c r="J47" s="557"/>
      <c r="K47" s="557"/>
      <c r="L47" s="557"/>
      <c r="M47" s="556"/>
      <c r="N47" s="556"/>
    </row>
    <row r="48" spans="1:14" ht="25.5">
      <c r="A48" s="149">
        <v>21</v>
      </c>
      <c r="B48" s="352" t="s">
        <v>173</v>
      </c>
      <c r="C48" s="153" t="s">
        <v>174</v>
      </c>
      <c r="D48" s="232" t="s">
        <v>175</v>
      </c>
      <c r="E48" s="232">
        <f>500</f>
        <v>500</v>
      </c>
      <c r="F48" s="233" t="s">
        <v>11</v>
      </c>
      <c r="G48" s="233">
        <v>1.25</v>
      </c>
      <c r="H48" s="233"/>
      <c r="I48" s="233"/>
      <c r="J48" s="233"/>
      <c r="K48" s="233"/>
      <c r="L48" s="234"/>
      <c r="M48" s="235">
        <f>500*1.25</f>
        <v>625</v>
      </c>
      <c r="N48" s="236">
        <f>ROUND((M48*$M$15),2)</f>
        <v>27618.75</v>
      </c>
    </row>
    <row r="49" spans="1:14" ht="12.75">
      <c r="A49" s="149">
        <v>22</v>
      </c>
      <c r="B49" s="352" t="s">
        <v>176</v>
      </c>
      <c r="C49" s="153" t="s">
        <v>177</v>
      </c>
      <c r="D49" s="205" t="s">
        <v>178</v>
      </c>
      <c r="E49" s="558">
        <f>M46</f>
        <v>923.2</v>
      </c>
      <c r="F49" s="559"/>
      <c r="G49" s="559"/>
      <c r="H49" s="207" t="s">
        <v>11</v>
      </c>
      <c r="I49" s="207">
        <v>0.21</v>
      </c>
      <c r="J49" s="207"/>
      <c r="K49" s="207"/>
      <c r="L49" s="208"/>
      <c r="M49" s="235">
        <f>0.21*M46</f>
        <v>193.87</v>
      </c>
      <c r="N49" s="236">
        <f>ROUND((M49*M15),2)</f>
        <v>8567.12</v>
      </c>
    </row>
    <row r="50" spans="1:14" ht="12.75">
      <c r="A50" s="149">
        <v>23</v>
      </c>
      <c r="B50" s="555" t="s">
        <v>179</v>
      </c>
      <c r="C50" s="555"/>
      <c r="D50" s="551"/>
      <c r="E50" s="237"/>
      <c r="F50" s="238"/>
      <c r="G50" s="238"/>
      <c r="H50" s="238"/>
      <c r="I50" s="238"/>
      <c r="J50" s="238"/>
      <c r="K50" s="238"/>
      <c r="L50" s="239"/>
      <c r="M50" s="240">
        <f>M49+M48</f>
        <v>818.87</v>
      </c>
      <c r="N50" s="241">
        <f>N48+N49</f>
        <v>36185.87</v>
      </c>
    </row>
    <row r="51" spans="1:14" ht="12.75">
      <c r="A51" s="149">
        <v>24</v>
      </c>
      <c r="B51" s="558" t="s">
        <v>10</v>
      </c>
      <c r="C51" s="559"/>
      <c r="D51" s="559"/>
      <c r="E51" s="559"/>
      <c r="F51" s="559"/>
      <c r="G51" s="559"/>
      <c r="H51" s="559"/>
      <c r="I51" s="559"/>
      <c r="J51" s="559"/>
      <c r="K51" s="559"/>
      <c r="L51" s="560"/>
      <c r="M51" s="240">
        <f>M36+M41+M46+M50</f>
        <v>7783.27</v>
      </c>
      <c r="N51" s="240">
        <f>N36+N41+N46+N50</f>
        <v>343942.69</v>
      </c>
    </row>
    <row r="52" spans="1:14" ht="12.75">
      <c r="A52" s="149">
        <v>25</v>
      </c>
      <c r="B52" s="242" t="s">
        <v>19</v>
      </c>
      <c r="C52" s="242"/>
      <c r="D52" s="243">
        <v>1</v>
      </c>
      <c r="E52" s="244"/>
      <c r="F52" s="245"/>
      <c r="G52" s="245"/>
      <c r="H52" s="245"/>
      <c r="I52" s="245"/>
      <c r="J52" s="245"/>
      <c r="K52" s="245"/>
      <c r="L52" s="246"/>
      <c r="M52" s="247">
        <f>M51*D52</f>
        <v>7783.27</v>
      </c>
      <c r="N52" s="248">
        <f>ROUND((D52*N51),2)</f>
        <v>343942.69</v>
      </c>
    </row>
    <row r="53" spans="1:14" ht="12.75">
      <c r="A53" s="149">
        <v>26</v>
      </c>
      <c r="B53" s="352" t="s">
        <v>43</v>
      </c>
      <c r="C53" s="153"/>
      <c r="D53" s="205"/>
      <c r="E53" s="244"/>
      <c r="F53" s="245"/>
      <c r="G53" s="245"/>
      <c r="H53" s="245"/>
      <c r="I53" s="245"/>
      <c r="J53" s="245"/>
      <c r="K53" s="245"/>
      <c r="L53" s="246"/>
      <c r="M53" s="249"/>
      <c r="N53" s="250">
        <f>0.18*N52</f>
        <v>61909.68</v>
      </c>
    </row>
    <row r="54" spans="1:14" ht="12.75">
      <c r="A54" s="149">
        <v>27</v>
      </c>
      <c r="B54" s="551" t="s">
        <v>180</v>
      </c>
      <c r="C54" s="552"/>
      <c r="D54" s="552"/>
      <c r="E54" s="251"/>
      <c r="F54" s="252"/>
      <c r="G54" s="252"/>
      <c r="H54" s="252"/>
      <c r="I54" s="252"/>
      <c r="J54" s="252"/>
      <c r="K54" s="252"/>
      <c r="L54" s="253"/>
      <c r="M54" s="249"/>
      <c r="N54" s="241">
        <f>N53+N52</f>
        <v>405852.37</v>
      </c>
    </row>
    <row r="57" spans="2:9" ht="12.75">
      <c r="B57" s="3" t="s">
        <v>263</v>
      </c>
      <c r="I57" s="3" t="s">
        <v>264</v>
      </c>
    </row>
    <row r="58" spans="2:4" ht="12.75">
      <c r="B58" s="417"/>
      <c r="C58" s="418"/>
      <c r="D58" s="418"/>
    </row>
    <row r="59" spans="2:4" ht="12.75">
      <c r="B59" s="418"/>
      <c r="C59" s="418"/>
      <c r="D59" s="418"/>
    </row>
    <row r="60" spans="2:4" ht="12.75">
      <c r="B60" s="418"/>
      <c r="C60" s="418"/>
      <c r="D60" s="418"/>
    </row>
    <row r="61" spans="2:4" ht="12.75">
      <c r="B61" s="419"/>
      <c r="C61" s="418"/>
      <c r="D61" s="418"/>
    </row>
  </sheetData>
  <sheetProtection/>
  <mergeCells count="36">
    <mergeCell ref="A12:N12"/>
    <mergeCell ref="F3:O3"/>
    <mergeCell ref="F4:O4"/>
    <mergeCell ref="F5:O5"/>
    <mergeCell ref="A7:N7"/>
    <mergeCell ref="A8:N8"/>
    <mergeCell ref="A10:N10"/>
    <mergeCell ref="F1:O1"/>
    <mergeCell ref="F2:O2"/>
    <mergeCell ref="A14:A16"/>
    <mergeCell ref="B14:B16"/>
    <mergeCell ref="C14:C16"/>
    <mergeCell ref="D14:D16"/>
    <mergeCell ref="E14:L16"/>
    <mergeCell ref="M14:N14"/>
    <mergeCell ref="M15:N15"/>
    <mergeCell ref="A11:N11"/>
    <mergeCell ref="B17:N17"/>
    <mergeCell ref="A18:N18"/>
    <mergeCell ref="B19:C19"/>
    <mergeCell ref="A26:N26"/>
    <mergeCell ref="B33:D33"/>
    <mergeCell ref="E34:G34"/>
    <mergeCell ref="E35:G35"/>
    <mergeCell ref="B36:D36"/>
    <mergeCell ref="B37:N37"/>
    <mergeCell ref="G38:H38"/>
    <mergeCell ref="B41:D41"/>
    <mergeCell ref="B42:N42"/>
    <mergeCell ref="B54:D54"/>
    <mergeCell ref="E45:G45"/>
    <mergeCell ref="B46:D46"/>
    <mergeCell ref="B47:N47"/>
    <mergeCell ref="E49:G49"/>
    <mergeCell ref="B50:D50"/>
    <mergeCell ref="B51:L5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71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4.125" style="31" customWidth="1"/>
    <col min="2" max="2" width="35.00390625" style="31" customWidth="1"/>
    <col min="3" max="3" width="12.25390625" style="31" customWidth="1"/>
    <col min="4" max="4" width="6.875" style="31" customWidth="1"/>
    <col min="5" max="5" width="7.875" style="31" customWidth="1"/>
    <col min="6" max="6" width="8.00390625" style="31" customWidth="1"/>
    <col min="7" max="7" width="2.125" style="31" customWidth="1"/>
    <col min="8" max="8" width="7.125" style="31" customWidth="1"/>
    <col min="9" max="9" width="2.75390625" style="31" customWidth="1"/>
    <col min="10" max="10" width="8.25390625" style="31" customWidth="1"/>
    <col min="11" max="11" width="2.00390625" style="31" customWidth="1"/>
    <col min="12" max="12" width="5.00390625" style="31" customWidth="1"/>
    <col min="13" max="13" width="12.125" style="94" customWidth="1"/>
    <col min="14" max="15" width="9.125" style="31" customWidth="1"/>
    <col min="16" max="16" width="13.125" style="31" customWidth="1"/>
    <col min="17" max="16384" width="9.125" style="31" customWidth="1"/>
  </cols>
  <sheetData>
    <row r="1" spans="1:13" ht="15" customHeight="1">
      <c r="A1" s="3"/>
      <c r="B1" s="3"/>
      <c r="C1" s="3"/>
      <c r="D1" s="3"/>
      <c r="E1" s="76"/>
      <c r="F1" s="76"/>
      <c r="G1" s="76"/>
      <c r="H1" s="462" t="s">
        <v>256</v>
      </c>
      <c r="I1" s="463"/>
      <c r="K1" s="463"/>
      <c r="L1" s="463"/>
      <c r="M1" s="463"/>
    </row>
    <row r="2" spans="1:13" ht="15" customHeight="1">
      <c r="A2" s="3"/>
      <c r="B2" s="3"/>
      <c r="C2" s="3"/>
      <c r="D2" s="3"/>
      <c r="E2" s="76"/>
      <c r="F2" s="76"/>
      <c r="G2" s="76"/>
      <c r="H2" s="463" t="s">
        <v>257</v>
      </c>
      <c r="I2" s="463"/>
      <c r="K2" s="463"/>
      <c r="L2" s="463"/>
      <c r="M2" s="463"/>
    </row>
    <row r="3" spans="1:13" ht="15" customHeight="1">
      <c r="A3" s="3"/>
      <c r="B3" s="3"/>
      <c r="C3" s="3"/>
      <c r="D3" s="3"/>
      <c r="E3" s="76"/>
      <c r="F3" s="76"/>
      <c r="G3" s="76"/>
      <c r="H3" s="463" t="s">
        <v>258</v>
      </c>
      <c r="I3" s="463"/>
      <c r="K3" s="463"/>
      <c r="L3" s="463"/>
      <c r="M3" s="463"/>
    </row>
    <row r="4" spans="1:13" ht="24.75" customHeight="1">
      <c r="A4" s="3"/>
      <c r="B4" s="3"/>
      <c r="C4" s="3"/>
      <c r="D4" s="3"/>
      <c r="E4" s="79"/>
      <c r="F4" s="79"/>
      <c r="G4" s="79"/>
      <c r="H4" s="254" t="s">
        <v>259</v>
      </c>
      <c r="I4" s="464"/>
      <c r="K4" s="254"/>
      <c r="L4" s="254"/>
      <c r="M4" s="254"/>
    </row>
    <row r="5" spans="1:13" ht="24.75" customHeight="1">
      <c r="A5" s="3"/>
      <c r="B5" s="3"/>
      <c r="C5" s="3"/>
      <c r="D5" s="3"/>
      <c r="E5" s="76"/>
      <c r="F5" s="76"/>
      <c r="G5" s="76"/>
      <c r="H5" s="465" t="s">
        <v>260</v>
      </c>
      <c r="I5" s="464"/>
      <c r="K5" s="465"/>
      <c r="L5" s="465"/>
      <c r="M5" s="31"/>
    </row>
    <row r="6" spans="1:12" ht="12.75">
      <c r="A6" s="3"/>
      <c r="B6" s="3"/>
      <c r="C6" s="3"/>
      <c r="D6" s="3"/>
      <c r="E6" s="29"/>
      <c r="F6" s="29"/>
      <c r="G6" s="29"/>
      <c r="H6" s="29"/>
      <c r="I6" s="29"/>
      <c r="J6" s="29"/>
      <c r="K6" s="29"/>
      <c r="L6" s="29"/>
    </row>
    <row r="7" spans="1:13" ht="12.75">
      <c r="A7" s="606" t="s">
        <v>25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</row>
    <row r="8" spans="1:13" ht="12.75">
      <c r="A8" s="633" t="s">
        <v>26</v>
      </c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</row>
    <row r="9" spans="1:13" ht="12.75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</row>
    <row r="10" spans="1:13" ht="19.5" customHeight="1">
      <c r="A10" s="634" t="s">
        <v>291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</row>
    <row r="11" spans="1:13" ht="15" customHeight="1">
      <c r="A11" s="635" t="s">
        <v>261</v>
      </c>
      <c r="B11" s="635"/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</row>
    <row r="12" spans="1:13" ht="15" customHeight="1">
      <c r="A12" s="635" t="s">
        <v>262</v>
      </c>
      <c r="B12" s="635"/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</row>
    <row r="13" spans="1:13" ht="12.75">
      <c r="A13" s="606"/>
      <c r="B13" s="606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</row>
    <row r="14" spans="1:13" ht="72.75" customHeight="1">
      <c r="A14" s="25" t="s">
        <v>27</v>
      </c>
      <c r="B14" s="25" t="s">
        <v>1</v>
      </c>
      <c r="C14" s="639" t="s">
        <v>28</v>
      </c>
      <c r="D14" s="640"/>
      <c r="E14" s="639" t="s">
        <v>29</v>
      </c>
      <c r="F14" s="641"/>
      <c r="G14" s="641"/>
      <c r="H14" s="641"/>
      <c r="I14" s="641"/>
      <c r="J14" s="641"/>
      <c r="K14" s="641"/>
      <c r="L14" s="641"/>
      <c r="M14" s="115" t="s">
        <v>30</v>
      </c>
    </row>
    <row r="15" spans="1:13" s="468" customFormat="1" ht="12.75">
      <c r="A15" s="466">
        <v>1</v>
      </c>
      <c r="B15" s="466">
        <v>2</v>
      </c>
      <c r="C15" s="628">
        <v>3</v>
      </c>
      <c r="D15" s="629"/>
      <c r="E15" s="628">
        <v>4</v>
      </c>
      <c r="F15" s="637"/>
      <c r="G15" s="637"/>
      <c r="H15" s="637"/>
      <c r="I15" s="637"/>
      <c r="J15" s="637"/>
      <c r="K15" s="637"/>
      <c r="L15" s="629"/>
      <c r="M15" s="467">
        <v>5</v>
      </c>
    </row>
    <row r="16" spans="1:13" ht="29.25" customHeight="1">
      <c r="A16" s="34"/>
      <c r="B16" s="604" t="s">
        <v>62</v>
      </c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30"/>
    </row>
    <row r="17" spans="1:13" ht="12.75">
      <c r="A17" s="36"/>
      <c r="B17" s="37" t="s">
        <v>23</v>
      </c>
      <c r="C17" s="27"/>
      <c r="D17" s="27"/>
      <c r="E17" s="27"/>
      <c r="F17" s="38"/>
      <c r="G17" s="38"/>
      <c r="H17" s="38"/>
      <c r="I17" s="38"/>
      <c r="J17" s="38"/>
      <c r="K17" s="38"/>
      <c r="L17" s="38"/>
      <c r="M17" s="95"/>
    </row>
    <row r="18" spans="1:13" ht="12.75">
      <c r="A18" s="36"/>
      <c r="B18" s="27" t="s">
        <v>31</v>
      </c>
      <c r="C18" s="38"/>
      <c r="D18" s="26">
        <f>1.3+0.25</f>
        <v>1.55</v>
      </c>
      <c r="E18" s="38"/>
      <c r="F18" s="38"/>
      <c r="G18" s="38"/>
      <c r="H18" s="38"/>
      <c r="I18" s="38"/>
      <c r="J18" s="38"/>
      <c r="K18" s="38"/>
      <c r="L18" s="38"/>
      <c r="M18" s="95"/>
    </row>
    <row r="19" spans="1:13" ht="12.75">
      <c r="A19" s="36"/>
      <c r="B19" s="27" t="s">
        <v>95</v>
      </c>
      <c r="C19" s="38"/>
      <c r="D19" s="26">
        <v>44.19</v>
      </c>
      <c r="E19" s="39"/>
      <c r="F19" s="38"/>
      <c r="G19" s="38"/>
      <c r="H19" s="38"/>
      <c r="I19" s="38"/>
      <c r="J19" s="38"/>
      <c r="K19" s="38"/>
      <c r="L19" s="38"/>
      <c r="M19" s="95"/>
    </row>
    <row r="20" spans="1:18" ht="12.75">
      <c r="A20" s="36"/>
      <c r="B20" s="27" t="s">
        <v>217</v>
      </c>
      <c r="C20" s="26"/>
      <c r="D20" s="26">
        <v>4</v>
      </c>
      <c r="E20" s="39"/>
      <c r="F20" s="38"/>
      <c r="G20" s="38"/>
      <c r="H20" s="38"/>
      <c r="I20" s="38"/>
      <c r="J20" s="638" t="s">
        <v>91</v>
      </c>
      <c r="K20" s="638"/>
      <c r="L20" s="638"/>
      <c r="M20" s="95"/>
      <c r="P20" s="3"/>
      <c r="Q20" s="29" t="s">
        <v>91</v>
      </c>
      <c r="R20" s="3" t="s">
        <v>91</v>
      </c>
    </row>
    <row r="21" spans="1:13" ht="12.75">
      <c r="A21" s="631" t="s">
        <v>51</v>
      </c>
      <c r="B21" s="631"/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</row>
    <row r="22" spans="1:13" ht="12.75">
      <c r="A22" s="593">
        <v>1</v>
      </c>
      <c r="B22" s="632" t="s">
        <v>92</v>
      </c>
      <c r="C22" s="40" t="s">
        <v>61</v>
      </c>
      <c r="D22" s="41"/>
      <c r="E22" s="609" t="s">
        <v>32</v>
      </c>
      <c r="F22" s="610"/>
      <c r="G22" s="610"/>
      <c r="H22" s="610"/>
      <c r="I22" s="610"/>
      <c r="J22" s="610"/>
      <c r="K22" s="610"/>
      <c r="L22" s="610"/>
      <c r="M22" s="608">
        <f>ROUND(E23*J23,2)</f>
        <v>3.9</v>
      </c>
    </row>
    <row r="23" spans="1:13" ht="12.75">
      <c r="A23" s="593"/>
      <c r="B23" s="619"/>
      <c r="C23" s="40"/>
      <c r="D23" s="41"/>
      <c r="E23" s="42">
        <v>4.33</v>
      </c>
      <c r="F23" s="43"/>
      <c r="G23" s="43"/>
      <c r="H23" s="43"/>
      <c r="I23" s="43"/>
      <c r="J23" s="93">
        <v>0.9</v>
      </c>
      <c r="K23" s="43"/>
      <c r="L23" s="43"/>
      <c r="M23" s="608"/>
    </row>
    <row r="24" spans="1:13" ht="12.75">
      <c r="A24" s="593"/>
      <c r="B24" s="619"/>
      <c r="C24" s="40"/>
      <c r="D24" s="41"/>
      <c r="E24" s="609" t="s">
        <v>33</v>
      </c>
      <c r="F24" s="610"/>
      <c r="G24" s="610"/>
      <c r="H24" s="610"/>
      <c r="I24" s="610"/>
      <c r="J24" s="610"/>
      <c r="K24" s="610"/>
      <c r="L24" s="610"/>
      <c r="M24" s="608">
        <f>ROUND(E25*J25,2)</f>
        <v>1.52</v>
      </c>
    </row>
    <row r="25" spans="1:13" ht="19.5" customHeight="1">
      <c r="A25" s="593"/>
      <c r="B25" s="619"/>
      <c r="C25" s="40"/>
      <c r="D25" s="41"/>
      <c r="E25" s="80">
        <v>1.69</v>
      </c>
      <c r="F25" s="81"/>
      <c r="G25" s="81"/>
      <c r="H25" s="81"/>
      <c r="I25" s="81"/>
      <c r="J25" s="81">
        <f>J23</f>
        <v>0.9</v>
      </c>
      <c r="K25" s="81"/>
      <c r="L25" s="81"/>
      <c r="M25" s="608"/>
    </row>
    <row r="26" spans="1:13" ht="12.75">
      <c r="A26" s="595">
        <v>2</v>
      </c>
      <c r="B26" s="618" t="s">
        <v>45</v>
      </c>
      <c r="C26" s="48" t="s">
        <v>64</v>
      </c>
      <c r="D26" s="49"/>
      <c r="E26" s="604" t="s">
        <v>32</v>
      </c>
      <c r="F26" s="605"/>
      <c r="G26" s="605"/>
      <c r="H26" s="605"/>
      <c r="I26" s="605"/>
      <c r="J26" s="605"/>
      <c r="K26" s="605"/>
      <c r="L26" s="605"/>
      <c r="M26" s="607">
        <f>ROUND(E27*J27,2)</f>
        <v>18.27</v>
      </c>
    </row>
    <row r="27" spans="1:13" ht="12.75">
      <c r="A27" s="593"/>
      <c r="B27" s="619"/>
      <c r="C27" s="40"/>
      <c r="D27" s="41"/>
      <c r="E27" s="42">
        <v>20.3</v>
      </c>
      <c r="F27" s="43"/>
      <c r="G27" s="43"/>
      <c r="H27" s="43"/>
      <c r="I27" s="43"/>
      <c r="J27" s="43">
        <f>J23</f>
        <v>0.9</v>
      </c>
      <c r="K27" s="43"/>
      <c r="L27" s="43"/>
      <c r="M27" s="608"/>
    </row>
    <row r="28" spans="1:13" ht="12.75">
      <c r="A28" s="593"/>
      <c r="B28" s="619"/>
      <c r="C28" s="40"/>
      <c r="D28" s="41"/>
      <c r="E28" s="609" t="s">
        <v>33</v>
      </c>
      <c r="F28" s="610"/>
      <c r="G28" s="610"/>
      <c r="H28" s="610"/>
      <c r="I28" s="610"/>
      <c r="J28" s="610"/>
      <c r="K28" s="610"/>
      <c r="L28" s="610"/>
      <c r="M28" s="608">
        <f>ROUND(E29*J29,2)</f>
        <v>1.89</v>
      </c>
    </row>
    <row r="29" spans="1:13" ht="39" customHeight="1">
      <c r="A29" s="596"/>
      <c r="B29" s="620"/>
      <c r="C29" s="30"/>
      <c r="D29" s="45"/>
      <c r="E29" s="46">
        <v>2.1</v>
      </c>
      <c r="F29" s="47"/>
      <c r="G29" s="47"/>
      <c r="H29" s="47"/>
      <c r="I29" s="47"/>
      <c r="J29" s="47">
        <f>J23</f>
        <v>0.9</v>
      </c>
      <c r="K29" s="47"/>
      <c r="L29" s="47"/>
      <c r="M29" s="611"/>
    </row>
    <row r="30" spans="1:13" ht="25.5">
      <c r="A30" s="595">
        <v>3</v>
      </c>
      <c r="B30" s="602" t="s">
        <v>69</v>
      </c>
      <c r="C30" s="48" t="s">
        <v>34</v>
      </c>
      <c r="D30" s="49"/>
      <c r="E30" s="604" t="s">
        <v>32</v>
      </c>
      <c r="F30" s="605"/>
      <c r="G30" s="605"/>
      <c r="H30" s="605"/>
      <c r="I30" s="605"/>
      <c r="J30" s="605"/>
      <c r="K30" s="605"/>
      <c r="L30" s="605"/>
      <c r="M30" s="612">
        <f>ROUND(E31*J31*L31,2)</f>
        <v>7.02</v>
      </c>
    </row>
    <row r="31" spans="1:13" ht="114.75">
      <c r="A31" s="593"/>
      <c r="B31" s="601"/>
      <c r="C31" s="40" t="s">
        <v>280</v>
      </c>
      <c r="D31" s="41">
        <v>0.6</v>
      </c>
      <c r="E31" s="42">
        <v>11.7</v>
      </c>
      <c r="F31" s="43"/>
      <c r="G31" s="43"/>
      <c r="H31" s="43"/>
      <c r="I31" s="43"/>
      <c r="J31" s="43">
        <v>1</v>
      </c>
      <c r="K31" s="43" t="s">
        <v>11</v>
      </c>
      <c r="L31" s="43">
        <v>0.6</v>
      </c>
      <c r="M31" s="613"/>
    </row>
    <row r="32" spans="1:13" ht="12.75">
      <c r="A32" s="593"/>
      <c r="B32" s="601"/>
      <c r="C32" s="40"/>
      <c r="D32" s="41"/>
      <c r="E32" s="609" t="s">
        <v>33</v>
      </c>
      <c r="F32" s="610"/>
      <c r="G32" s="610"/>
      <c r="H32" s="610"/>
      <c r="I32" s="610"/>
      <c r="J32" s="610"/>
      <c r="K32" s="610"/>
      <c r="L32" s="610"/>
      <c r="M32" s="612">
        <f>ROUND(E33*J33*L33,2)</f>
        <v>4.5</v>
      </c>
    </row>
    <row r="33" spans="1:13" ht="12.75">
      <c r="A33" s="596"/>
      <c r="B33" s="603"/>
      <c r="C33" s="30"/>
      <c r="D33" s="45"/>
      <c r="E33" s="50">
        <v>7.5</v>
      </c>
      <c r="F33" s="51"/>
      <c r="G33" s="51"/>
      <c r="H33" s="51"/>
      <c r="I33" s="51"/>
      <c r="J33" s="51">
        <v>1</v>
      </c>
      <c r="K33" s="51" t="s">
        <v>11</v>
      </c>
      <c r="L33" s="51">
        <v>0.6</v>
      </c>
      <c r="M33" s="613"/>
    </row>
    <row r="34" spans="1:13" ht="25.5">
      <c r="A34" s="34">
        <v>4</v>
      </c>
      <c r="B34" s="52" t="s">
        <v>37</v>
      </c>
      <c r="C34" s="48" t="s">
        <v>38</v>
      </c>
      <c r="D34" s="55"/>
      <c r="E34" s="604" t="s">
        <v>32</v>
      </c>
      <c r="F34" s="605"/>
      <c r="G34" s="605"/>
      <c r="H34" s="605"/>
      <c r="I34" s="605"/>
      <c r="J34" s="605"/>
      <c r="K34" s="605"/>
      <c r="L34" s="605"/>
      <c r="M34" s="90"/>
    </row>
    <row r="35" spans="1:13" ht="63.75">
      <c r="A35" s="44"/>
      <c r="B35" s="54" t="s">
        <v>57</v>
      </c>
      <c r="C35" s="30" t="s">
        <v>281</v>
      </c>
      <c r="D35" s="45">
        <v>0.9</v>
      </c>
      <c r="E35" s="50">
        <v>6.9</v>
      </c>
      <c r="F35" s="43"/>
      <c r="G35" s="43"/>
      <c r="H35" s="43"/>
      <c r="I35" s="43"/>
      <c r="J35" s="51">
        <v>1</v>
      </c>
      <c r="K35" s="43" t="s">
        <v>11</v>
      </c>
      <c r="L35" s="51">
        <v>0.9</v>
      </c>
      <c r="M35" s="71">
        <f>ROUND(E35*J35*L35,2)</f>
        <v>6.21</v>
      </c>
    </row>
    <row r="36" spans="1:13" ht="25.5">
      <c r="A36" s="28">
        <v>5</v>
      </c>
      <c r="B36" s="52" t="s">
        <v>39</v>
      </c>
      <c r="C36" s="48"/>
      <c r="D36" s="55"/>
      <c r="E36" s="604" t="s">
        <v>32</v>
      </c>
      <c r="F36" s="605"/>
      <c r="G36" s="605"/>
      <c r="H36" s="605"/>
      <c r="I36" s="605"/>
      <c r="J36" s="605"/>
      <c r="K36" s="605"/>
      <c r="L36" s="605"/>
      <c r="M36" s="90"/>
    </row>
    <row r="37" spans="1:13" ht="12.75">
      <c r="A37" s="28"/>
      <c r="B37" s="53" t="s">
        <v>40</v>
      </c>
      <c r="C37" s="40" t="s">
        <v>46</v>
      </c>
      <c r="D37" s="56"/>
      <c r="E37" s="42">
        <v>37.7</v>
      </c>
      <c r="F37" s="43"/>
      <c r="G37" s="43"/>
      <c r="H37" s="43"/>
      <c r="I37" s="43"/>
      <c r="J37" s="43">
        <v>1</v>
      </c>
      <c r="K37" s="43"/>
      <c r="L37" s="43"/>
      <c r="M37" s="91">
        <f>ROUND(E37*J37,2)</f>
        <v>37.7</v>
      </c>
    </row>
    <row r="38" spans="1:13" ht="25.5">
      <c r="A38" s="595">
        <v>6</v>
      </c>
      <c r="B38" s="602" t="s">
        <v>71</v>
      </c>
      <c r="C38" s="48" t="s">
        <v>44</v>
      </c>
      <c r="D38" s="49"/>
      <c r="E38" s="604" t="s">
        <v>32</v>
      </c>
      <c r="F38" s="605"/>
      <c r="G38" s="605"/>
      <c r="H38" s="605"/>
      <c r="I38" s="605"/>
      <c r="J38" s="605"/>
      <c r="K38" s="605"/>
      <c r="L38" s="605"/>
      <c r="M38" s="607">
        <f>ROUND(E39*J39,2)</f>
        <v>1968</v>
      </c>
    </row>
    <row r="39" spans="1:13" ht="12.75">
      <c r="A39" s="593"/>
      <c r="B39" s="601"/>
      <c r="C39" s="40"/>
      <c r="D39" s="41"/>
      <c r="E39" s="42">
        <v>49.2</v>
      </c>
      <c r="F39" s="43"/>
      <c r="G39" s="43"/>
      <c r="H39" s="43"/>
      <c r="I39" s="43"/>
      <c r="J39" s="43">
        <f>D20/0.1</f>
        <v>40</v>
      </c>
      <c r="K39" s="43"/>
      <c r="L39" s="43"/>
      <c r="M39" s="608"/>
    </row>
    <row r="40" spans="1:13" ht="12.75">
      <c r="A40" s="593"/>
      <c r="B40" s="601"/>
      <c r="C40" s="40"/>
      <c r="D40" s="41"/>
      <c r="E40" s="609" t="s">
        <v>33</v>
      </c>
      <c r="F40" s="610"/>
      <c r="G40" s="610"/>
      <c r="H40" s="610"/>
      <c r="I40" s="610"/>
      <c r="J40" s="610"/>
      <c r="K40" s="610"/>
      <c r="L40" s="610"/>
      <c r="M40" s="607">
        <f>ROUND(E41*J41,2)</f>
        <v>592</v>
      </c>
    </row>
    <row r="41" spans="1:13" ht="12.75">
      <c r="A41" s="596"/>
      <c r="B41" s="601"/>
      <c r="C41" s="30"/>
      <c r="D41" s="45"/>
      <c r="E41" s="46">
        <v>14.8</v>
      </c>
      <c r="F41" s="47"/>
      <c r="G41" s="47"/>
      <c r="H41" s="47"/>
      <c r="I41" s="47"/>
      <c r="J41" s="47">
        <f>J39</f>
        <v>40</v>
      </c>
      <c r="K41" s="47"/>
      <c r="L41" s="47"/>
      <c r="M41" s="611"/>
    </row>
    <row r="42" spans="1:13" ht="12.75">
      <c r="A42" s="42"/>
      <c r="B42" s="55"/>
      <c r="C42" s="614" t="s">
        <v>10</v>
      </c>
      <c r="D42" s="615"/>
      <c r="E42" s="615"/>
      <c r="F42" s="615"/>
      <c r="G42" s="615"/>
      <c r="H42" s="615"/>
      <c r="I42" s="615"/>
      <c r="J42" s="615"/>
      <c r="K42" s="615"/>
      <c r="L42" s="615"/>
      <c r="M42" s="92">
        <f>M44+M43</f>
        <v>2641.01</v>
      </c>
    </row>
    <row r="43" spans="1:13" ht="12.75">
      <c r="A43" s="42"/>
      <c r="B43" s="57"/>
      <c r="C43" s="597" t="s">
        <v>35</v>
      </c>
      <c r="D43" s="598"/>
      <c r="E43" s="598"/>
      <c r="F43" s="598"/>
      <c r="G43" s="598"/>
      <c r="H43" s="598"/>
      <c r="I43" s="598"/>
      <c r="J43" s="598"/>
      <c r="K43" s="598"/>
      <c r="L43" s="598"/>
      <c r="M43" s="23">
        <f>M22+M26+M30+M38+M35+M37</f>
        <v>2041.1</v>
      </c>
    </row>
    <row r="44" spans="1:13" ht="12.75">
      <c r="A44" s="42"/>
      <c r="B44" s="57"/>
      <c r="C44" s="599" t="s">
        <v>36</v>
      </c>
      <c r="D44" s="600"/>
      <c r="E44" s="600"/>
      <c r="F44" s="600"/>
      <c r="G44" s="600"/>
      <c r="H44" s="600"/>
      <c r="I44" s="600"/>
      <c r="J44" s="600"/>
      <c r="K44" s="600"/>
      <c r="L44" s="600"/>
      <c r="M44" s="90">
        <f>M24+M28+M32+M40</f>
        <v>599.91</v>
      </c>
    </row>
    <row r="45" spans="1:13" ht="12.75">
      <c r="A45" s="33"/>
      <c r="B45" s="58" t="s">
        <v>50</v>
      </c>
      <c r="C45" s="61"/>
      <c r="D45" s="60"/>
      <c r="E45" s="61"/>
      <c r="F45" s="59"/>
      <c r="G45" s="59"/>
      <c r="H45" s="59"/>
      <c r="I45" s="59"/>
      <c r="J45" s="59"/>
      <c r="K45" s="59"/>
      <c r="L45" s="59"/>
      <c r="M45" s="23"/>
    </row>
    <row r="46" spans="1:13" ht="63.75">
      <c r="A46" s="42">
        <v>7</v>
      </c>
      <c r="B46" s="52" t="s">
        <v>65</v>
      </c>
      <c r="C46" s="62" t="s">
        <v>47</v>
      </c>
      <c r="D46" s="63"/>
      <c r="E46" s="62">
        <v>52.3</v>
      </c>
      <c r="G46" s="64"/>
      <c r="H46" s="64"/>
      <c r="I46" s="64"/>
      <c r="J46" s="64">
        <f>B47</f>
        <v>1</v>
      </c>
      <c r="K46" s="64"/>
      <c r="L46" s="64"/>
      <c r="M46" s="71">
        <f>ROUND(E46*J46,2)</f>
        <v>52.3</v>
      </c>
    </row>
    <row r="47" spans="1:13" ht="12.75">
      <c r="A47" s="50"/>
      <c r="B47" s="65">
        <v>1</v>
      </c>
      <c r="C47" s="66"/>
      <c r="D47" s="67"/>
      <c r="E47" s="66"/>
      <c r="F47" s="68"/>
      <c r="G47" s="68"/>
      <c r="H47" s="68"/>
      <c r="I47" s="68"/>
      <c r="J47" s="68"/>
      <c r="K47" s="68"/>
      <c r="L47" s="68"/>
      <c r="M47" s="92"/>
    </row>
    <row r="48" spans="1:13" ht="51">
      <c r="A48" s="34">
        <v>8</v>
      </c>
      <c r="B48" s="57" t="s">
        <v>66</v>
      </c>
      <c r="C48" s="62" t="s">
        <v>48</v>
      </c>
      <c r="D48" s="63"/>
      <c r="E48" s="62">
        <v>13.3</v>
      </c>
      <c r="F48" s="64"/>
      <c r="G48" s="64"/>
      <c r="H48" s="64"/>
      <c r="I48" s="64"/>
      <c r="J48" s="64">
        <f>B49</f>
        <v>1</v>
      </c>
      <c r="K48" s="64"/>
      <c r="L48" s="64"/>
      <c r="M48" s="96">
        <f>ROUND(E48*J48,2)</f>
        <v>13.3</v>
      </c>
    </row>
    <row r="49" spans="1:13" ht="12.75">
      <c r="A49" s="44"/>
      <c r="B49" s="68">
        <v>1</v>
      </c>
      <c r="C49" s="66"/>
      <c r="D49" s="67"/>
      <c r="E49" s="66"/>
      <c r="F49" s="68"/>
      <c r="G49" s="68"/>
      <c r="H49" s="68"/>
      <c r="I49" s="68"/>
      <c r="J49" s="68"/>
      <c r="K49" s="68"/>
      <c r="L49" s="68"/>
      <c r="M49" s="92"/>
    </row>
    <row r="50" spans="1:13" ht="38.25">
      <c r="A50" s="28">
        <v>9</v>
      </c>
      <c r="B50" s="57" t="s">
        <v>67</v>
      </c>
      <c r="C50" s="62" t="s">
        <v>49</v>
      </c>
      <c r="D50" s="63"/>
      <c r="E50" s="99">
        <v>19.7</v>
      </c>
      <c r="F50" s="64"/>
      <c r="G50" s="64"/>
      <c r="H50" s="64"/>
      <c r="I50" s="64"/>
      <c r="J50" s="64">
        <f>B51</f>
        <v>1</v>
      </c>
      <c r="K50" s="64"/>
      <c r="L50" s="64"/>
      <c r="M50" s="96">
        <f>ROUND(E50*J50,2)</f>
        <v>19.7</v>
      </c>
    </row>
    <row r="51" spans="1:13" ht="12.75">
      <c r="A51" s="28"/>
      <c r="B51" s="64">
        <v>1</v>
      </c>
      <c r="C51" s="62"/>
      <c r="D51" s="63"/>
      <c r="E51" s="62"/>
      <c r="F51" s="64"/>
      <c r="G51" s="64"/>
      <c r="H51" s="64"/>
      <c r="I51" s="64"/>
      <c r="J51" s="64"/>
      <c r="K51" s="64"/>
      <c r="L51" s="64"/>
      <c r="M51" s="91"/>
    </row>
    <row r="52" spans="1:13" ht="12.75" customHeight="1">
      <c r="A52" s="32"/>
      <c r="B52" s="69"/>
      <c r="C52" s="59"/>
      <c r="D52" s="59"/>
      <c r="E52" s="59"/>
      <c r="F52" s="592" t="s">
        <v>52</v>
      </c>
      <c r="G52" s="592"/>
      <c r="H52" s="592"/>
      <c r="I52" s="592"/>
      <c r="J52" s="592"/>
      <c r="K52" s="592"/>
      <c r="L52" s="594"/>
      <c r="M52" s="23">
        <f>M46+M48+M50</f>
        <v>85.3</v>
      </c>
    </row>
    <row r="53" spans="1:13" ht="16.5" customHeight="1">
      <c r="A53" s="70"/>
      <c r="B53" s="38"/>
      <c r="C53" s="38"/>
      <c r="D53" s="38"/>
      <c r="E53" s="38"/>
      <c r="F53" s="38"/>
      <c r="G53" s="38"/>
      <c r="H53" s="38"/>
      <c r="I53" s="38"/>
      <c r="J53" s="616" t="s">
        <v>10</v>
      </c>
      <c r="K53" s="616"/>
      <c r="L53" s="616"/>
      <c r="M53" s="97">
        <f>M52+M42</f>
        <v>2726.31</v>
      </c>
    </row>
    <row r="54" spans="1:13" ht="41.25" customHeight="1">
      <c r="A54" s="34">
        <v>10</v>
      </c>
      <c r="B54" s="52" t="s">
        <v>53</v>
      </c>
      <c r="C54" s="48" t="s">
        <v>54</v>
      </c>
      <c r="D54" s="49">
        <v>18</v>
      </c>
      <c r="E54" s="100">
        <f>M44</f>
        <v>599.91</v>
      </c>
      <c r="F54" s="35"/>
      <c r="G54" s="35"/>
      <c r="H54" s="35"/>
      <c r="I54" s="35" t="s">
        <v>11</v>
      </c>
      <c r="J54" s="35">
        <v>0.18</v>
      </c>
      <c r="K54" s="35"/>
      <c r="L54" s="35"/>
      <c r="M54" s="96">
        <f>ROUND(E54*J54,2)</f>
        <v>107.98</v>
      </c>
    </row>
    <row r="55" spans="1:13" ht="15" customHeight="1">
      <c r="A55" s="32">
        <v>11</v>
      </c>
      <c r="B55" s="82" t="s">
        <v>41</v>
      </c>
      <c r="C55" s="83" t="s">
        <v>63</v>
      </c>
      <c r="D55" s="84">
        <v>0.0875</v>
      </c>
      <c r="E55" s="33">
        <f>M43</f>
        <v>2041.1</v>
      </c>
      <c r="F55" s="78"/>
      <c r="G55" s="78"/>
      <c r="H55" s="78"/>
      <c r="I55" s="78" t="s">
        <v>11</v>
      </c>
      <c r="J55" s="592">
        <v>0.0875</v>
      </c>
      <c r="K55" s="592"/>
      <c r="L55" s="78"/>
      <c r="M55" s="89">
        <f>ROUND(E55*J55,2)</f>
        <v>178.6</v>
      </c>
    </row>
    <row r="56" spans="1:13" ht="12.75">
      <c r="A56" s="593">
        <v>12</v>
      </c>
      <c r="B56" s="601" t="s">
        <v>42</v>
      </c>
      <c r="C56" s="40" t="s">
        <v>72</v>
      </c>
      <c r="D56" s="85">
        <v>0.06</v>
      </c>
      <c r="E56" s="469" t="s">
        <v>58</v>
      </c>
      <c r="F56" s="470">
        <f>M43</f>
        <v>2041.1</v>
      </c>
      <c r="G56" s="81" t="s">
        <v>59</v>
      </c>
      <c r="H56" s="396">
        <f>M55</f>
        <v>178.6</v>
      </c>
      <c r="I56" s="81" t="s">
        <v>60</v>
      </c>
      <c r="J56" s="81">
        <v>0.06</v>
      </c>
      <c r="K56" s="81" t="s">
        <v>11</v>
      </c>
      <c r="L56" s="81">
        <f>D57</f>
        <v>2.5</v>
      </c>
      <c r="M56" s="91">
        <f>ROUND((F56+H56)*J56*L56,2)</f>
        <v>332.96</v>
      </c>
    </row>
    <row r="57" spans="1:13" ht="90" customHeight="1">
      <c r="A57" s="593"/>
      <c r="B57" s="601"/>
      <c r="C57" s="40" t="s">
        <v>70</v>
      </c>
      <c r="D57" s="41">
        <v>2.5</v>
      </c>
      <c r="E57" s="42"/>
      <c r="F57" s="43"/>
      <c r="G57" s="43"/>
      <c r="H57" s="43"/>
      <c r="I57" s="43"/>
      <c r="J57" s="43"/>
      <c r="K57" s="43"/>
      <c r="L57" s="43"/>
      <c r="M57" s="91"/>
    </row>
    <row r="58" spans="1:13" ht="13.5" customHeight="1">
      <c r="A58" s="32"/>
      <c r="B58" s="86"/>
      <c r="C58" s="87"/>
      <c r="D58" s="77"/>
      <c r="E58" s="78"/>
      <c r="F58" s="78"/>
      <c r="G58" s="78"/>
      <c r="H58" s="78"/>
      <c r="I58" s="78"/>
      <c r="J58" s="617" t="s">
        <v>10</v>
      </c>
      <c r="K58" s="617"/>
      <c r="L58" s="617"/>
      <c r="M58" s="23">
        <f>M53+M54+M55+M56</f>
        <v>3345.85</v>
      </c>
    </row>
    <row r="59" spans="1:13" ht="76.5">
      <c r="A59" s="88">
        <v>13</v>
      </c>
      <c r="B59" s="56" t="s">
        <v>90</v>
      </c>
      <c r="C59" s="40" t="s">
        <v>89</v>
      </c>
      <c r="D59" s="56">
        <v>44.19</v>
      </c>
      <c r="E59" s="98">
        <f>M58</f>
        <v>3345.85</v>
      </c>
      <c r="F59" s="43"/>
      <c r="G59" s="43" t="s">
        <v>11</v>
      </c>
      <c r="H59" s="43">
        <f>D18</f>
        <v>1.55</v>
      </c>
      <c r="I59" s="43" t="s">
        <v>11</v>
      </c>
      <c r="J59" s="610">
        <f>D59</f>
        <v>44.19</v>
      </c>
      <c r="K59" s="610"/>
      <c r="L59" s="43"/>
      <c r="M59" s="71">
        <f>ROUND(E59*H59*J59,2)</f>
        <v>229172.32</v>
      </c>
    </row>
    <row r="60" spans="1:13" ht="12.75">
      <c r="A60" s="623" t="s">
        <v>55</v>
      </c>
      <c r="B60" s="624"/>
      <c r="C60" s="624"/>
      <c r="D60" s="624"/>
      <c r="E60" s="624"/>
      <c r="F60" s="78"/>
      <c r="G60" s="78"/>
      <c r="H60" s="78"/>
      <c r="I60" s="78"/>
      <c r="J60" s="78"/>
      <c r="K60" s="78"/>
      <c r="L60" s="78"/>
      <c r="M60" s="111">
        <f>M59</f>
        <v>229172.32</v>
      </c>
    </row>
    <row r="61" spans="1:13" ht="12.75">
      <c r="A61" s="625" t="s">
        <v>24</v>
      </c>
      <c r="B61" s="626"/>
      <c r="C61" s="626"/>
      <c r="D61" s="627">
        <v>1</v>
      </c>
      <c r="E61" s="627"/>
      <c r="F61" s="43"/>
      <c r="G61" s="43"/>
      <c r="H61" s="43"/>
      <c r="I61" s="43"/>
      <c r="J61" s="43"/>
      <c r="K61" s="43"/>
      <c r="L61" s="43"/>
      <c r="M61" s="112">
        <f>M60*D61</f>
        <v>229172.32</v>
      </c>
    </row>
    <row r="62" spans="1:13" ht="12.75">
      <c r="A62" s="72"/>
      <c r="B62" s="73"/>
      <c r="C62" s="73"/>
      <c r="D62" s="74"/>
      <c r="E62" s="621" t="s">
        <v>43</v>
      </c>
      <c r="F62" s="622"/>
      <c r="G62" s="622"/>
      <c r="H62" s="622"/>
      <c r="I62" s="622"/>
      <c r="J62" s="622"/>
      <c r="K62" s="622"/>
      <c r="L62" s="622"/>
      <c r="M62" s="113">
        <f>M61*0.18</f>
        <v>41251.02</v>
      </c>
    </row>
    <row r="63" spans="1:13" ht="14.25" customHeight="1">
      <c r="A63" s="75"/>
      <c r="B63" s="591" t="s">
        <v>94</v>
      </c>
      <c r="C63" s="591"/>
      <c r="D63" s="591"/>
      <c r="E63" s="591"/>
      <c r="F63" s="591"/>
      <c r="G63" s="591"/>
      <c r="H63" s="591"/>
      <c r="I63" s="591"/>
      <c r="J63" s="591"/>
      <c r="K63" s="591"/>
      <c r="L63" s="591"/>
      <c r="M63" s="113">
        <f>M61+M62</f>
        <v>270423.34</v>
      </c>
    </row>
    <row r="65" spans="2:4" ht="12.75">
      <c r="B65" s="15"/>
      <c r="C65" s="15"/>
      <c r="D65" s="15"/>
    </row>
    <row r="66" spans="2:10" ht="12.75">
      <c r="B66" s="15" t="s">
        <v>263</v>
      </c>
      <c r="C66" s="15"/>
      <c r="D66" s="15"/>
      <c r="J66" s="31" t="s">
        <v>264</v>
      </c>
    </row>
    <row r="67" spans="2:13" ht="15" customHeight="1">
      <c r="B67" s="417"/>
      <c r="C67" s="418"/>
      <c r="D67" s="418"/>
      <c r="E67" s="15"/>
      <c r="F67" s="15"/>
      <c r="G67" s="15"/>
      <c r="H67" s="15"/>
      <c r="I67" s="15"/>
      <c r="J67" s="636"/>
      <c r="K67" s="636"/>
      <c r="L67" s="636"/>
      <c r="M67" s="636"/>
    </row>
    <row r="68" spans="2:4" ht="12.75">
      <c r="B68" s="418"/>
      <c r="C68" s="418"/>
      <c r="D68" s="418"/>
    </row>
    <row r="69" spans="2:4" ht="12.75">
      <c r="B69" s="418"/>
      <c r="C69" s="418"/>
      <c r="D69" s="418"/>
    </row>
    <row r="70" spans="2:4" ht="12.75">
      <c r="B70" s="419"/>
      <c r="C70" s="418"/>
      <c r="D70" s="418"/>
    </row>
    <row r="71" spans="2:4" ht="12.75">
      <c r="B71" s="3"/>
      <c r="C71" s="3"/>
      <c r="D71" s="3"/>
    </row>
  </sheetData>
  <sheetProtection/>
  <mergeCells count="55">
    <mergeCell ref="A7:M7"/>
    <mergeCell ref="A8:M8"/>
    <mergeCell ref="A10:M10"/>
    <mergeCell ref="A11:M11"/>
    <mergeCell ref="A12:M12"/>
    <mergeCell ref="J67:M67"/>
    <mergeCell ref="E15:L15"/>
    <mergeCell ref="J20:L20"/>
    <mergeCell ref="C14:D14"/>
    <mergeCell ref="E14:L14"/>
    <mergeCell ref="C15:D15"/>
    <mergeCell ref="M28:M29"/>
    <mergeCell ref="B16:M16"/>
    <mergeCell ref="A21:M21"/>
    <mergeCell ref="A22:A25"/>
    <mergeCell ref="B22:B25"/>
    <mergeCell ref="E22:L22"/>
    <mergeCell ref="M22:M23"/>
    <mergeCell ref="E24:L24"/>
    <mergeCell ref="M26:M27"/>
    <mergeCell ref="M24:M25"/>
    <mergeCell ref="A26:A29"/>
    <mergeCell ref="B26:B29"/>
    <mergeCell ref="E62:L62"/>
    <mergeCell ref="A60:E60"/>
    <mergeCell ref="A61:C61"/>
    <mergeCell ref="E34:L34"/>
    <mergeCell ref="E36:L36"/>
    <mergeCell ref="D61:E61"/>
    <mergeCell ref="M30:M31"/>
    <mergeCell ref="M32:M33"/>
    <mergeCell ref="J59:K59"/>
    <mergeCell ref="C42:L42"/>
    <mergeCell ref="J53:L53"/>
    <mergeCell ref="J58:L58"/>
    <mergeCell ref="A13:M13"/>
    <mergeCell ref="A38:A41"/>
    <mergeCell ref="B38:B41"/>
    <mergeCell ref="E38:L38"/>
    <mergeCell ref="M38:M39"/>
    <mergeCell ref="E32:L32"/>
    <mergeCell ref="E26:L26"/>
    <mergeCell ref="E28:L28"/>
    <mergeCell ref="E40:L40"/>
    <mergeCell ref="M40:M41"/>
    <mergeCell ref="B63:L63"/>
    <mergeCell ref="J55:K55"/>
    <mergeCell ref="A56:A57"/>
    <mergeCell ref="F52:L52"/>
    <mergeCell ref="A30:A33"/>
    <mergeCell ref="C43:L43"/>
    <mergeCell ref="C44:L44"/>
    <mergeCell ref="B56:B57"/>
    <mergeCell ref="B30:B33"/>
    <mergeCell ref="E30:L30"/>
  </mergeCells>
  <printOptions/>
  <pageMargins left="0.5118110236220472" right="0.31" top="0.35433070866141736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SheetLayoutView="100" zoomScalePageLayoutView="0" workbookViewId="0" topLeftCell="A1">
      <selection activeCell="A10" sqref="A10:V10"/>
    </sheetView>
  </sheetViews>
  <sheetFormatPr defaultColWidth="9.00390625" defaultRowHeight="12.75"/>
  <cols>
    <col min="1" max="1" width="9.125" style="3" customWidth="1"/>
    <col min="2" max="2" width="32.25390625" style="3" customWidth="1"/>
    <col min="3" max="3" width="9.125" style="3" customWidth="1"/>
    <col min="4" max="4" width="13.375" style="3" customWidth="1"/>
    <col min="5" max="11" width="9.125" style="3" customWidth="1"/>
    <col min="12" max="12" width="5.125" style="3" customWidth="1"/>
    <col min="13" max="13" width="12.625" style="3" customWidth="1"/>
    <col min="14" max="14" width="9.125" style="3" customWidth="1"/>
    <col min="15" max="16384" width="9.125" style="3" customWidth="1"/>
  </cols>
  <sheetData>
    <row r="1" spans="9:22" ht="17.25" customHeight="1">
      <c r="I1" s="494" t="s">
        <v>256</v>
      </c>
      <c r="J1" s="494"/>
      <c r="K1" s="494"/>
      <c r="L1" s="494"/>
      <c r="M1" s="363"/>
      <c r="N1" s="363"/>
      <c r="O1" s="360"/>
      <c r="P1" s="360"/>
      <c r="Q1" s="360"/>
      <c r="R1" s="360"/>
      <c r="S1" s="360"/>
      <c r="T1" s="360"/>
      <c r="U1" s="360"/>
      <c r="V1" s="360"/>
    </row>
    <row r="2" spans="9:22" ht="13.5" customHeight="1">
      <c r="I2" s="479" t="s">
        <v>257</v>
      </c>
      <c r="J2" s="479"/>
      <c r="K2" s="479"/>
      <c r="L2" s="479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9:22" ht="15" customHeight="1">
      <c r="I3" s="479" t="s">
        <v>258</v>
      </c>
      <c r="J3" s="479"/>
      <c r="K3" s="479"/>
      <c r="L3" s="479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9:22" ht="21.75" customHeight="1">
      <c r="I4" s="479" t="s">
        <v>259</v>
      </c>
      <c r="J4" s="479"/>
      <c r="K4" s="479"/>
      <c r="L4" s="479"/>
      <c r="M4" s="479"/>
      <c r="N4" s="76"/>
      <c r="O4" s="76"/>
      <c r="P4" s="76"/>
      <c r="Q4" s="76"/>
      <c r="R4" s="76"/>
      <c r="S4" s="76"/>
      <c r="T4" s="76"/>
      <c r="U4" s="76"/>
      <c r="V4" s="76"/>
    </row>
    <row r="5" spans="9:22" ht="19.5" customHeight="1">
      <c r="I5" s="76" t="s">
        <v>260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5:6" ht="12.75">
      <c r="E6" s="479"/>
      <c r="F6" s="479"/>
    </row>
    <row r="7" spans="1:22" ht="12.75">
      <c r="A7" s="484" t="s">
        <v>268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361"/>
      <c r="O7" s="361"/>
      <c r="P7" s="361"/>
      <c r="Q7" s="361"/>
      <c r="R7" s="361"/>
      <c r="S7" s="361"/>
      <c r="T7" s="361"/>
      <c r="U7" s="361"/>
      <c r="V7" s="361"/>
    </row>
    <row r="8" spans="1:22" ht="12.75">
      <c r="A8" s="492" t="s">
        <v>269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362"/>
      <c r="O8" s="362"/>
      <c r="P8" s="362"/>
      <c r="Q8" s="362"/>
      <c r="R8" s="362"/>
      <c r="S8" s="362"/>
      <c r="T8" s="362"/>
      <c r="U8" s="362"/>
      <c r="V8" s="362"/>
    </row>
    <row r="9" spans="1:6" ht="12.75">
      <c r="A9" s="348"/>
      <c r="B9" s="348"/>
      <c r="C9" s="348"/>
      <c r="D9" s="348"/>
      <c r="E9" s="348"/>
      <c r="F9" s="348"/>
    </row>
    <row r="10" spans="1:22" ht="15.75" customHeight="1">
      <c r="A10" s="478" t="s">
        <v>290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</row>
    <row r="11" spans="1:10" ht="13.5" customHeight="1">
      <c r="A11" s="478" t="s">
        <v>261</v>
      </c>
      <c r="B11" s="478"/>
      <c r="C11" s="478"/>
      <c r="D11" s="478"/>
      <c r="E11" s="478"/>
      <c r="F11" s="478"/>
      <c r="G11" s="17"/>
      <c r="H11" s="16"/>
      <c r="I11" s="17"/>
      <c r="J11" s="16"/>
    </row>
    <row r="12" spans="1:10" ht="13.5" customHeight="1">
      <c r="A12" s="478" t="s">
        <v>262</v>
      </c>
      <c r="B12" s="478"/>
      <c r="C12" s="478"/>
      <c r="D12" s="478"/>
      <c r="E12" s="478"/>
      <c r="F12" s="478"/>
      <c r="G12" s="17"/>
      <c r="H12" s="16"/>
      <c r="I12" s="17"/>
      <c r="J12" s="16"/>
    </row>
    <row r="13" spans="1:14" ht="12.75">
      <c r="A13" s="446" t="s">
        <v>91</v>
      </c>
      <c r="B13" s="516" t="s">
        <v>99</v>
      </c>
      <c r="C13" s="516"/>
      <c r="D13" s="516"/>
      <c r="E13" s="516"/>
      <c r="F13" s="516"/>
      <c r="G13" s="516"/>
      <c r="H13" s="516"/>
      <c r="I13" s="516"/>
      <c r="J13" s="516"/>
      <c r="K13" s="516"/>
      <c r="L13" s="446"/>
      <c r="M13" s="446"/>
      <c r="N13" s="446"/>
    </row>
    <row r="14" spans="1:13" ht="12.75">
      <c r="A14" s="656" t="s">
        <v>27</v>
      </c>
      <c r="B14" s="650" t="s">
        <v>101</v>
      </c>
      <c r="C14" s="650" t="s">
        <v>102</v>
      </c>
      <c r="D14" s="650" t="s">
        <v>103</v>
      </c>
      <c r="E14" s="652" t="s">
        <v>104</v>
      </c>
      <c r="F14" s="653"/>
      <c r="G14" s="653"/>
      <c r="H14" s="653"/>
      <c r="I14" s="653"/>
      <c r="J14" s="653"/>
      <c r="K14" s="653"/>
      <c r="L14" s="653"/>
      <c r="M14" s="650" t="s">
        <v>218</v>
      </c>
    </row>
    <row r="15" spans="1:13" ht="12.75">
      <c r="A15" s="657"/>
      <c r="B15" s="651"/>
      <c r="C15" s="651"/>
      <c r="D15" s="651"/>
      <c r="E15" s="654"/>
      <c r="F15" s="655"/>
      <c r="G15" s="655"/>
      <c r="H15" s="655"/>
      <c r="I15" s="655"/>
      <c r="J15" s="655"/>
      <c r="K15" s="655"/>
      <c r="L15" s="655"/>
      <c r="M15" s="651"/>
    </row>
    <row r="16" spans="1:13" ht="12.75">
      <c r="A16" s="282">
        <v>1</v>
      </c>
      <c r="B16" s="284">
        <v>2</v>
      </c>
      <c r="C16" s="283">
        <v>3</v>
      </c>
      <c r="D16" s="284">
        <v>4</v>
      </c>
      <c r="E16" s="646">
        <v>5</v>
      </c>
      <c r="F16" s="647"/>
      <c r="G16" s="647"/>
      <c r="H16" s="647"/>
      <c r="I16" s="647"/>
      <c r="J16" s="647"/>
      <c r="K16" s="647"/>
      <c r="L16" s="647"/>
      <c r="M16" s="285">
        <v>6</v>
      </c>
    </row>
    <row r="17" spans="1:13" ht="12.75">
      <c r="A17" s="286"/>
      <c r="B17" s="287" t="s">
        <v>106</v>
      </c>
      <c r="C17" s="283"/>
      <c r="D17" s="288"/>
      <c r="E17" s="289"/>
      <c r="F17" s="289"/>
      <c r="G17" s="289"/>
      <c r="H17" s="289"/>
      <c r="I17" s="289"/>
      <c r="J17" s="289"/>
      <c r="K17" s="289"/>
      <c r="L17" s="289"/>
      <c r="M17" s="285"/>
    </row>
    <row r="18" spans="1:13" ht="15" customHeight="1">
      <c r="A18" s="290"/>
      <c r="B18" s="291" t="s">
        <v>219</v>
      </c>
      <c r="C18" s="292">
        <v>2</v>
      </c>
      <c r="D18" s="293"/>
      <c r="E18" s="294"/>
      <c r="F18" s="294"/>
      <c r="G18" s="294"/>
      <c r="H18" s="294"/>
      <c r="I18" s="294"/>
      <c r="J18" s="294"/>
      <c r="K18" s="294"/>
      <c r="L18" s="294"/>
      <c r="M18" s="295"/>
    </row>
    <row r="19" spans="1:13" ht="17.25" customHeight="1">
      <c r="A19" s="290"/>
      <c r="B19" s="291" t="s">
        <v>220</v>
      </c>
      <c r="C19" s="292">
        <v>1</v>
      </c>
      <c r="D19" s="293"/>
      <c r="E19" s="294"/>
      <c r="F19" s="294"/>
      <c r="G19" s="294"/>
      <c r="H19" s="294"/>
      <c r="I19" s="294"/>
      <c r="J19" s="294"/>
      <c r="K19" s="294"/>
      <c r="L19" s="294"/>
      <c r="M19" s="295"/>
    </row>
    <row r="20" spans="1:13" ht="28.5" customHeight="1">
      <c r="A20" s="290"/>
      <c r="B20" s="291" t="s">
        <v>221</v>
      </c>
      <c r="C20" s="292">
        <v>300</v>
      </c>
      <c r="D20" s="293"/>
      <c r="E20" s="294"/>
      <c r="F20" s="294"/>
      <c r="G20" s="294"/>
      <c r="H20" s="294"/>
      <c r="I20" s="294"/>
      <c r="J20" s="294"/>
      <c r="K20" s="294"/>
      <c r="L20" s="294"/>
      <c r="M20" s="295"/>
    </row>
    <row r="21" spans="1:13" ht="12.75">
      <c r="A21" s="290"/>
      <c r="B21" s="291" t="s">
        <v>250</v>
      </c>
      <c r="C21" s="292">
        <v>1</v>
      </c>
      <c r="D21" s="293"/>
      <c r="E21" s="294"/>
      <c r="F21" s="294"/>
      <c r="G21" s="294"/>
      <c r="H21" s="294"/>
      <c r="I21" s="294"/>
      <c r="J21" s="294"/>
      <c r="K21" s="294"/>
      <c r="L21" s="294"/>
      <c r="M21" s="295"/>
    </row>
    <row r="22" spans="1:13" ht="35.25" customHeight="1">
      <c r="A22" s="290"/>
      <c r="B22" s="291" t="s">
        <v>222</v>
      </c>
      <c r="C22" s="292">
        <v>1</v>
      </c>
      <c r="D22" s="293"/>
      <c r="E22" s="294"/>
      <c r="F22" s="294"/>
      <c r="G22" s="294"/>
      <c r="H22" s="294"/>
      <c r="I22" s="294"/>
      <c r="J22" s="294"/>
      <c r="K22" s="294"/>
      <c r="L22" s="294"/>
      <c r="M22" s="295"/>
    </row>
    <row r="23" spans="1:13" ht="11.25" customHeight="1">
      <c r="A23" s="296" t="s">
        <v>91</v>
      </c>
      <c r="B23" s="297" t="s">
        <v>223</v>
      </c>
      <c r="C23" s="298"/>
      <c r="D23" s="299" t="s">
        <v>91</v>
      </c>
      <c r="E23" s="300" t="s">
        <v>91</v>
      </c>
      <c r="F23" s="301"/>
      <c r="G23" s="301"/>
      <c r="H23" s="302"/>
      <c r="I23" s="301"/>
      <c r="J23" s="301"/>
      <c r="K23" s="301"/>
      <c r="L23" s="301"/>
      <c r="M23" s="303"/>
    </row>
    <row r="24" spans="1:13" ht="27.75" customHeight="1">
      <c r="A24" s="304"/>
      <c r="B24" s="27" t="s">
        <v>224</v>
      </c>
      <c r="C24" s="305">
        <v>167.9</v>
      </c>
      <c r="D24" s="306" t="s">
        <v>225</v>
      </c>
      <c r="E24" s="307">
        <f>C24</f>
        <v>167.9</v>
      </c>
      <c r="F24" s="658" t="s">
        <v>282</v>
      </c>
      <c r="G24" s="658"/>
      <c r="H24" s="658"/>
      <c r="I24" s="308"/>
      <c r="J24" s="308"/>
      <c r="K24" s="308"/>
      <c r="L24" s="308"/>
      <c r="M24" s="309">
        <f>C24*C27*C28*C29*C30*C31*C32*C20/100</f>
        <v>33191.8262894592</v>
      </c>
    </row>
    <row r="25" spans="1:13" ht="24.75" customHeight="1">
      <c r="A25" s="310" t="s">
        <v>226</v>
      </c>
      <c r="B25" s="471" t="s">
        <v>227</v>
      </c>
      <c r="C25" s="311">
        <v>1.25</v>
      </c>
      <c r="D25" s="312"/>
      <c r="E25" s="313"/>
      <c r="F25" s="314"/>
      <c r="G25" s="314"/>
      <c r="H25" s="314"/>
      <c r="I25" s="314"/>
      <c r="J25" s="315"/>
      <c r="K25" s="315"/>
      <c r="L25" s="315"/>
      <c r="M25" s="316"/>
    </row>
    <row r="26" spans="1:13" ht="30.75" customHeight="1">
      <c r="A26" s="317" t="s">
        <v>228</v>
      </c>
      <c r="B26" s="472" t="s">
        <v>229</v>
      </c>
      <c r="C26" s="318">
        <v>1.35</v>
      </c>
      <c r="D26" s="312"/>
      <c r="E26" s="70"/>
      <c r="F26" s="38"/>
      <c r="G26" s="38"/>
      <c r="H26" s="38"/>
      <c r="I26" s="38"/>
      <c r="J26" s="31"/>
      <c r="K26" s="31"/>
      <c r="L26" s="31"/>
      <c r="M26" s="36"/>
    </row>
    <row r="27" spans="1:13" ht="34.5" customHeight="1">
      <c r="A27" s="319" t="s">
        <v>230</v>
      </c>
      <c r="B27" s="73" t="s">
        <v>231</v>
      </c>
      <c r="C27" s="320">
        <v>1.6</v>
      </c>
      <c r="D27" s="312"/>
      <c r="E27" s="70"/>
      <c r="F27" s="38"/>
      <c r="G27" s="38"/>
      <c r="H27" s="38"/>
      <c r="I27" s="38"/>
      <c r="J27" s="31"/>
      <c r="K27" s="31"/>
      <c r="L27" s="31"/>
      <c r="M27" s="36"/>
    </row>
    <row r="28" spans="1:13" ht="26.25" customHeight="1">
      <c r="A28" s="319" t="s">
        <v>232</v>
      </c>
      <c r="B28" s="473" t="s">
        <v>233</v>
      </c>
      <c r="C28" s="321">
        <v>5.92</v>
      </c>
      <c r="D28" s="312"/>
      <c r="E28" s="70"/>
      <c r="F28" s="38"/>
      <c r="G28" s="38"/>
      <c r="H28" s="38"/>
      <c r="I28" s="38"/>
      <c r="J28" s="31"/>
      <c r="K28" s="31"/>
      <c r="L28" s="31"/>
      <c r="M28" s="36"/>
    </row>
    <row r="29" spans="1:13" ht="29.25" customHeight="1">
      <c r="A29" s="319" t="s">
        <v>234</v>
      </c>
      <c r="B29" s="473" t="s">
        <v>235</v>
      </c>
      <c r="C29" s="321">
        <v>1.1</v>
      </c>
      <c r="D29" s="312"/>
      <c r="E29" s="70"/>
      <c r="F29" s="38"/>
      <c r="G29" s="38"/>
      <c r="H29" s="38"/>
      <c r="I29" s="38"/>
      <c r="J29" s="31"/>
      <c r="K29" s="31"/>
      <c r="L29" s="31"/>
      <c r="M29" s="36"/>
    </row>
    <row r="30" spans="1:13" ht="33.75" customHeight="1">
      <c r="A30" s="310" t="s">
        <v>236</v>
      </c>
      <c r="B30" s="471" t="s">
        <v>237</v>
      </c>
      <c r="C30" s="311">
        <v>1.35</v>
      </c>
      <c r="D30" s="312"/>
      <c r="E30" s="70"/>
      <c r="F30" s="38"/>
      <c r="G30" s="38"/>
      <c r="H30" s="38"/>
      <c r="I30" s="38"/>
      <c r="J30" s="31"/>
      <c r="K30" s="31"/>
      <c r="L30" s="31"/>
      <c r="M30" s="36"/>
    </row>
    <row r="31" spans="1:13" ht="51">
      <c r="A31" s="322" t="s">
        <v>283</v>
      </c>
      <c r="B31" s="323" t="s">
        <v>252</v>
      </c>
      <c r="C31" s="324">
        <v>3.84</v>
      </c>
      <c r="D31" s="325" t="s">
        <v>251</v>
      </c>
      <c r="E31" s="326"/>
      <c r="F31" s="326"/>
      <c r="G31" s="326"/>
      <c r="H31" s="326"/>
      <c r="I31" s="326"/>
      <c r="J31" s="326"/>
      <c r="K31" s="326"/>
      <c r="L31" s="326"/>
      <c r="M31" s="327"/>
    </row>
    <row r="32" spans="1:13" ht="12.75">
      <c r="A32" s="328" t="s">
        <v>284</v>
      </c>
      <c r="B32" s="329" t="s">
        <v>238</v>
      </c>
      <c r="C32" s="330">
        <v>1.22</v>
      </c>
      <c r="D32" s="331"/>
      <c r="E32" s="326"/>
      <c r="F32" s="326"/>
      <c r="G32" s="326"/>
      <c r="H32" s="326"/>
      <c r="I32" s="326"/>
      <c r="J32" s="326"/>
      <c r="K32" s="326"/>
      <c r="L32" s="326"/>
      <c r="M32" s="327"/>
    </row>
    <row r="33" spans="1:13" ht="12.75">
      <c r="A33" s="648" t="s">
        <v>239</v>
      </c>
      <c r="B33" s="649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332">
        <f>M24</f>
        <v>33191.83</v>
      </c>
    </row>
    <row r="34" spans="1:13" ht="16.5" customHeight="1">
      <c r="A34" s="296" t="s">
        <v>91</v>
      </c>
      <c r="B34" s="298" t="s">
        <v>240</v>
      </c>
      <c r="C34" s="474"/>
      <c r="D34" s="475"/>
      <c r="E34" s="300"/>
      <c r="F34" s="301"/>
      <c r="G34" s="301"/>
      <c r="H34" s="301"/>
      <c r="I34" s="301"/>
      <c r="J34" s="301"/>
      <c r="K34" s="301"/>
      <c r="L34" s="301"/>
      <c r="M34" s="303"/>
    </row>
    <row r="35" spans="1:13" ht="18" customHeight="1">
      <c r="A35" s="304"/>
      <c r="B35" s="27" t="s">
        <v>224</v>
      </c>
      <c r="C35" s="333">
        <v>163.2</v>
      </c>
      <c r="D35" s="306" t="s">
        <v>241</v>
      </c>
      <c r="E35" s="307">
        <f>C35</f>
        <v>163.2</v>
      </c>
      <c r="F35" s="658" t="s">
        <v>282</v>
      </c>
      <c r="G35" s="658"/>
      <c r="H35" s="658"/>
      <c r="I35" s="308"/>
      <c r="J35" s="308"/>
      <c r="K35" s="308"/>
      <c r="L35" s="308"/>
      <c r="M35" s="334">
        <f>C35*C38*C39*C40*C41*C42*C43*C20/100</f>
        <v>26444.83</v>
      </c>
    </row>
    <row r="36" spans="1:13" ht="28.5" customHeight="1">
      <c r="A36" s="310" t="s">
        <v>226</v>
      </c>
      <c r="B36" s="471" t="s">
        <v>227</v>
      </c>
      <c r="C36" s="311">
        <v>1.25</v>
      </c>
      <c r="D36" s="312"/>
      <c r="E36" s="307"/>
      <c r="F36" s="308"/>
      <c r="G36" s="308"/>
      <c r="H36" s="308"/>
      <c r="I36" s="308"/>
      <c r="J36" s="308"/>
      <c r="K36" s="308"/>
      <c r="L36" s="308"/>
      <c r="M36" s="334"/>
    </row>
    <row r="37" spans="1:13" ht="26.25" customHeight="1">
      <c r="A37" s="317" t="s">
        <v>228</v>
      </c>
      <c r="B37" s="472" t="s">
        <v>229</v>
      </c>
      <c r="C37" s="318">
        <v>1.35</v>
      </c>
      <c r="D37" s="312"/>
      <c r="E37" s="307"/>
      <c r="F37" s="308"/>
      <c r="G37" s="308"/>
      <c r="H37" s="308"/>
      <c r="I37" s="308"/>
      <c r="J37" s="308"/>
      <c r="K37" s="308"/>
      <c r="L37" s="308"/>
      <c r="M37" s="334"/>
    </row>
    <row r="38" spans="1:13" ht="25.5" customHeight="1">
      <c r="A38" s="319" t="s">
        <v>230</v>
      </c>
      <c r="B38" s="73" t="s">
        <v>231</v>
      </c>
      <c r="C38" s="320">
        <v>1.6</v>
      </c>
      <c r="D38" s="312"/>
      <c r="E38" s="307"/>
      <c r="F38" s="308"/>
      <c r="G38" s="308"/>
      <c r="H38" s="308"/>
      <c r="I38" s="308"/>
      <c r="J38" s="308"/>
      <c r="K38" s="308"/>
      <c r="L38" s="308"/>
      <c r="M38" s="334"/>
    </row>
    <row r="39" spans="1:13" ht="26.25" customHeight="1">
      <c r="A39" s="319" t="s">
        <v>232</v>
      </c>
      <c r="B39" s="473" t="s">
        <v>233</v>
      </c>
      <c r="C39" s="321">
        <v>5.92</v>
      </c>
      <c r="D39" s="312"/>
      <c r="E39" s="307"/>
      <c r="F39" s="308"/>
      <c r="G39" s="308"/>
      <c r="H39" s="308"/>
      <c r="I39" s="308"/>
      <c r="J39" s="308"/>
      <c r="K39" s="308"/>
      <c r="L39" s="308"/>
      <c r="M39" s="334"/>
    </row>
    <row r="40" spans="1:13" ht="30.75" customHeight="1">
      <c r="A40" s="319" t="s">
        <v>234</v>
      </c>
      <c r="B40" s="473" t="s">
        <v>235</v>
      </c>
      <c r="C40" s="321">
        <v>1.1</v>
      </c>
      <c r="D40" s="312"/>
      <c r="E40" s="307"/>
      <c r="F40" s="308"/>
      <c r="G40" s="308"/>
      <c r="H40" s="308"/>
      <c r="I40" s="308"/>
      <c r="J40" s="308"/>
      <c r="K40" s="308"/>
      <c r="L40" s="308"/>
      <c r="M40" s="334"/>
    </row>
    <row r="41" spans="1:13" ht="30" customHeight="1">
      <c r="A41" s="310" t="s">
        <v>236</v>
      </c>
      <c r="B41" s="471" t="s">
        <v>237</v>
      </c>
      <c r="C41" s="311">
        <v>1.35</v>
      </c>
      <c r="D41" s="312"/>
      <c r="E41" s="307"/>
      <c r="F41" s="308"/>
      <c r="G41" s="308"/>
      <c r="H41" s="308"/>
      <c r="I41" s="308"/>
      <c r="J41" s="308"/>
      <c r="K41" s="308"/>
      <c r="L41" s="308"/>
      <c r="M41" s="334"/>
    </row>
    <row r="42" spans="1:13" ht="62.25" customHeight="1">
      <c r="A42" s="322" t="s">
        <v>283</v>
      </c>
      <c r="B42" s="323" t="s">
        <v>252</v>
      </c>
      <c r="C42" s="324">
        <v>3.84</v>
      </c>
      <c r="D42" s="325" t="s">
        <v>253</v>
      </c>
      <c r="E42" s="326"/>
      <c r="F42" s="326"/>
      <c r="G42" s="326"/>
      <c r="H42" s="326"/>
      <c r="I42" s="326"/>
      <c r="J42" s="326"/>
      <c r="K42" s="326"/>
      <c r="L42" s="326"/>
      <c r="M42" s="327"/>
    </row>
    <row r="43" spans="1:13" ht="12.75">
      <c r="A43" s="328" t="s">
        <v>284</v>
      </c>
      <c r="B43" s="329" t="s">
        <v>238</v>
      </c>
      <c r="C43" s="330">
        <v>1</v>
      </c>
      <c r="D43" s="331"/>
      <c r="E43" s="326"/>
      <c r="F43" s="326"/>
      <c r="G43" s="326"/>
      <c r="H43" s="326"/>
      <c r="I43" s="326"/>
      <c r="J43" s="326"/>
      <c r="K43" s="326"/>
      <c r="L43" s="326"/>
      <c r="M43" s="327"/>
    </row>
    <row r="44" spans="1:13" ht="12.75">
      <c r="A44" s="648" t="s">
        <v>242</v>
      </c>
      <c r="B44" s="649"/>
      <c r="C44" s="649"/>
      <c r="D44" s="649"/>
      <c r="E44" s="649"/>
      <c r="F44" s="649"/>
      <c r="G44" s="649"/>
      <c r="H44" s="649"/>
      <c r="I44" s="649"/>
      <c r="J44" s="649"/>
      <c r="K44" s="649"/>
      <c r="L44" s="649"/>
      <c r="M44" s="332">
        <f>M35</f>
        <v>26444.83</v>
      </c>
    </row>
    <row r="45" spans="1:13" ht="12.75">
      <c r="A45" s="648" t="s">
        <v>243</v>
      </c>
      <c r="B45" s="649"/>
      <c r="C45" s="649"/>
      <c r="D45" s="649"/>
      <c r="E45" s="649"/>
      <c r="F45" s="649"/>
      <c r="G45" s="649"/>
      <c r="H45" s="649"/>
      <c r="I45" s="649"/>
      <c r="J45" s="649"/>
      <c r="K45" s="649"/>
      <c r="L45" s="649"/>
      <c r="M45" s="332">
        <f>M33+M44</f>
        <v>59636.66</v>
      </c>
    </row>
    <row r="46" spans="1:13" ht="12.75">
      <c r="A46" s="310"/>
      <c r="B46" s="37" t="s">
        <v>244</v>
      </c>
      <c r="C46" s="305"/>
      <c r="D46" s="335"/>
      <c r="E46" s="308"/>
      <c r="F46" s="308"/>
      <c r="G46" s="308"/>
      <c r="H46" s="308"/>
      <c r="I46" s="308"/>
      <c r="J46" s="308"/>
      <c r="K46" s="308"/>
      <c r="L46" s="308"/>
      <c r="M46" s="334"/>
    </row>
    <row r="47" spans="1:13" ht="14.25">
      <c r="A47" s="310" t="s">
        <v>245</v>
      </c>
      <c r="B47" s="476"/>
      <c r="C47" s="336">
        <v>0.035</v>
      </c>
      <c r="D47" s="335" t="s">
        <v>246</v>
      </c>
      <c r="E47" s="642">
        <f>M45</f>
        <v>59636.66</v>
      </c>
      <c r="F47" s="643"/>
      <c r="G47" s="326" t="s">
        <v>285</v>
      </c>
      <c r="H47" s="337"/>
      <c r="I47" s="308"/>
      <c r="J47" s="308"/>
      <c r="K47" s="308"/>
      <c r="L47" s="308"/>
      <c r="M47" s="334">
        <f>M45*C47</f>
        <v>2087.28</v>
      </c>
    </row>
    <row r="48" spans="1:13" ht="12.75">
      <c r="A48" s="644" t="s">
        <v>247</v>
      </c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113">
        <f>M45+M47</f>
        <v>61723.94</v>
      </c>
    </row>
    <row r="49" spans="1:13" ht="12.75">
      <c r="A49" s="338"/>
      <c r="B49" s="338" t="s">
        <v>19</v>
      </c>
      <c r="C49" s="340">
        <v>1</v>
      </c>
      <c r="D49" s="340"/>
      <c r="E49" s="339"/>
      <c r="F49" s="339"/>
      <c r="G49" s="339"/>
      <c r="H49" s="339"/>
      <c r="I49" s="339"/>
      <c r="J49" s="339"/>
      <c r="K49" s="339"/>
      <c r="L49" s="339"/>
      <c r="M49" s="341">
        <f>M48</f>
        <v>61723.94</v>
      </c>
    </row>
    <row r="50" spans="1:13" ht="12.75">
      <c r="A50" s="319"/>
      <c r="B50" s="342" t="s">
        <v>248</v>
      </c>
      <c r="C50" s="280"/>
      <c r="D50" s="343"/>
      <c r="E50" s="343"/>
      <c r="F50" s="343"/>
      <c r="G50" s="343"/>
      <c r="H50" s="343"/>
      <c r="I50" s="343"/>
      <c r="J50" s="343"/>
      <c r="K50" s="343"/>
      <c r="L50" s="343"/>
      <c r="M50" s="344">
        <f>ROUND(M49*0.18,2)</f>
        <v>11110.31</v>
      </c>
    </row>
    <row r="51" spans="1:13" ht="12.75">
      <c r="A51" s="319"/>
      <c r="B51" s="342" t="s">
        <v>249</v>
      </c>
      <c r="C51" s="280"/>
      <c r="D51" s="343"/>
      <c r="E51" s="343"/>
      <c r="F51" s="343"/>
      <c r="G51" s="343"/>
      <c r="H51" s="343"/>
      <c r="I51" s="343"/>
      <c r="J51" s="343"/>
      <c r="K51" s="343"/>
      <c r="L51" s="343"/>
      <c r="M51" s="344">
        <f>M49+M50</f>
        <v>72834.25</v>
      </c>
    </row>
    <row r="52" spans="1:13" ht="12.75">
      <c r="A52" s="345"/>
      <c r="B52" s="31"/>
      <c r="C52" s="28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12.75">
      <c r="A53" s="345"/>
      <c r="B53" s="31" t="s">
        <v>263</v>
      </c>
      <c r="C53" s="281"/>
      <c r="D53" s="31"/>
      <c r="E53" s="31"/>
      <c r="F53" s="31"/>
      <c r="G53" s="31"/>
      <c r="H53" s="31"/>
      <c r="I53" s="31"/>
      <c r="J53" s="31"/>
      <c r="K53" s="31" t="s">
        <v>264</v>
      </c>
      <c r="L53" s="31"/>
      <c r="M53" s="31"/>
    </row>
  </sheetData>
  <sheetProtection/>
  <mergeCells count="25">
    <mergeCell ref="I1:L1"/>
    <mergeCell ref="C14:C15"/>
    <mergeCell ref="M14:M15"/>
    <mergeCell ref="F24:H24"/>
    <mergeCell ref="A33:L33"/>
    <mergeCell ref="F35:H35"/>
    <mergeCell ref="A10:V10"/>
    <mergeCell ref="A11:F11"/>
    <mergeCell ref="A12:F12"/>
    <mergeCell ref="B13:K13"/>
    <mergeCell ref="E47:F47"/>
    <mergeCell ref="A48:L48"/>
    <mergeCell ref="E16:L16"/>
    <mergeCell ref="A45:L45"/>
    <mergeCell ref="D14:D15"/>
    <mergeCell ref="E14:L15"/>
    <mergeCell ref="A14:A15"/>
    <mergeCell ref="B14:B15"/>
    <mergeCell ref="A44:L44"/>
    <mergeCell ref="I2:L2"/>
    <mergeCell ref="I3:L3"/>
    <mergeCell ref="I4:M4"/>
    <mergeCell ref="E6:F6"/>
    <mergeCell ref="A7:M7"/>
    <mergeCell ref="A8:M8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workbookViewId="0" topLeftCell="A10">
      <selection activeCell="B25" sqref="B25"/>
    </sheetView>
  </sheetViews>
  <sheetFormatPr defaultColWidth="9.00390625" defaultRowHeight="12.75"/>
  <cols>
    <col min="1" max="1" width="10.375" style="3" customWidth="1"/>
    <col min="2" max="2" width="13.00390625" style="3" customWidth="1"/>
    <col min="3" max="3" width="70.25390625" style="3" customWidth="1"/>
    <col min="4" max="16384" width="9.125" style="3" customWidth="1"/>
  </cols>
  <sheetData>
    <row r="1" spans="3:4" ht="17.25" customHeight="1">
      <c r="C1" s="364" t="s">
        <v>271</v>
      </c>
      <c r="D1" s="364"/>
    </row>
    <row r="2" spans="3:4" ht="13.5" customHeight="1">
      <c r="C2" s="76" t="s">
        <v>272</v>
      </c>
      <c r="D2" s="76"/>
    </row>
    <row r="3" spans="3:4" ht="15" customHeight="1">
      <c r="C3" s="76" t="s">
        <v>273</v>
      </c>
      <c r="D3" s="76"/>
    </row>
    <row r="4" spans="3:4" ht="21.75" customHeight="1">
      <c r="C4" s="76" t="s">
        <v>274</v>
      </c>
      <c r="D4" s="76"/>
    </row>
    <row r="5" spans="3:4" ht="19.5" customHeight="1">
      <c r="C5" s="76" t="s">
        <v>275</v>
      </c>
      <c r="D5" s="76"/>
    </row>
    <row r="6" spans="5:6" ht="12.75">
      <c r="E6" s="479"/>
      <c r="F6" s="479"/>
    </row>
    <row r="7" spans="5:6" ht="12.75">
      <c r="E7" s="479"/>
      <c r="F7" s="479"/>
    </row>
    <row r="8" spans="1:6" ht="12.75">
      <c r="A8" s="484" t="s">
        <v>276</v>
      </c>
      <c r="B8" s="484"/>
      <c r="C8" s="484"/>
      <c r="D8" s="361"/>
      <c r="E8" s="361"/>
      <c r="F8" s="361"/>
    </row>
    <row r="9" spans="1:6" ht="12.75">
      <c r="A9" s="348"/>
      <c r="B9" s="348"/>
      <c r="C9" s="348"/>
      <c r="D9" s="348"/>
      <c r="E9" s="348"/>
      <c r="F9" s="348"/>
    </row>
    <row r="10" spans="1:10" ht="17.25" customHeight="1">
      <c r="A10" s="485" t="s">
        <v>290</v>
      </c>
      <c r="B10" s="485"/>
      <c r="C10" s="485"/>
      <c r="D10" s="358"/>
      <c r="E10" s="358"/>
      <c r="F10" s="358"/>
      <c r="G10" s="17"/>
      <c r="H10" s="16"/>
      <c r="I10" s="17"/>
      <c r="J10" s="16"/>
    </row>
    <row r="11" spans="1:10" ht="13.5" customHeight="1">
      <c r="A11" s="478" t="s">
        <v>261</v>
      </c>
      <c r="B11" s="478"/>
      <c r="C11" s="478"/>
      <c r="D11" s="478"/>
      <c r="E11" s="478"/>
      <c r="F11" s="478"/>
      <c r="G11" s="17"/>
      <c r="H11" s="16"/>
      <c r="I11" s="17"/>
      <c r="J11" s="16"/>
    </row>
    <row r="12" spans="1:10" ht="13.5" customHeight="1">
      <c r="A12" s="478" t="s">
        <v>262</v>
      </c>
      <c r="B12" s="478"/>
      <c r="C12" s="478"/>
      <c r="D12" s="478"/>
      <c r="E12" s="478"/>
      <c r="F12" s="478"/>
      <c r="G12" s="17"/>
      <c r="H12" s="16"/>
      <c r="I12" s="17"/>
      <c r="J12" s="16"/>
    </row>
    <row r="13" spans="1:10" ht="13.5" customHeight="1">
      <c r="A13" s="359"/>
      <c r="B13" s="359"/>
      <c r="C13" s="359"/>
      <c r="D13" s="359"/>
      <c r="E13" s="359"/>
      <c r="F13" s="359"/>
      <c r="G13" s="17"/>
      <c r="H13" s="16"/>
      <c r="I13" s="17"/>
      <c r="J13" s="16"/>
    </row>
    <row r="14" spans="1:3" ht="25.5">
      <c r="A14" s="255" t="s">
        <v>181</v>
      </c>
      <c r="B14" s="267">
        <f>'См№1 ПР'!V27/1.18</f>
        <v>3719770.59</v>
      </c>
      <c r="C14" s="256" t="s">
        <v>182</v>
      </c>
    </row>
    <row r="15" spans="1:3" ht="12.75">
      <c r="A15" s="255"/>
      <c r="B15" s="268" t="s">
        <v>183</v>
      </c>
      <c r="C15" s="256" t="s">
        <v>184</v>
      </c>
    </row>
    <row r="16" spans="1:3" ht="12.75">
      <c r="A16" s="255" t="s">
        <v>185</v>
      </c>
      <c r="B16" s="269">
        <v>3.84</v>
      </c>
      <c r="C16" s="257" t="s">
        <v>186</v>
      </c>
    </row>
    <row r="17" spans="1:3" ht="25.5">
      <c r="A17" s="255" t="s">
        <v>187</v>
      </c>
      <c r="B17" s="267">
        <f>B14/B16</f>
        <v>968690.26</v>
      </c>
      <c r="C17" s="256" t="s">
        <v>188</v>
      </c>
    </row>
    <row r="18" spans="1:3" ht="12.75">
      <c r="A18" s="255" t="s">
        <v>189</v>
      </c>
      <c r="B18" s="267">
        <f>('См№2 Геодез'!N40+'См№3 Геолог'!N54+'См№4 Экология'!M63)/1.18</f>
        <v>689150.11</v>
      </c>
      <c r="C18" s="256" t="s">
        <v>190</v>
      </c>
    </row>
    <row r="19" spans="1:3" ht="12.75">
      <c r="A19" s="255"/>
      <c r="B19" s="268" t="s">
        <v>183</v>
      </c>
      <c r="C19" s="256" t="s">
        <v>191</v>
      </c>
    </row>
    <row r="20" spans="1:3" ht="12.75">
      <c r="A20" s="255" t="s">
        <v>185</v>
      </c>
      <c r="B20" s="269">
        <v>3.9</v>
      </c>
      <c r="C20" s="257" t="s">
        <v>192</v>
      </c>
    </row>
    <row r="21" spans="1:3" ht="25.5">
      <c r="A21" s="255" t="s">
        <v>193</v>
      </c>
      <c r="B21" s="267">
        <f>B18/B20</f>
        <v>176705.16</v>
      </c>
      <c r="C21" s="256" t="s">
        <v>194</v>
      </c>
    </row>
    <row r="22" spans="1:3" ht="25.5">
      <c r="A22" s="477" t="s">
        <v>195</v>
      </c>
      <c r="B22" s="346">
        <v>3.73</v>
      </c>
      <c r="C22" s="258" t="s">
        <v>196</v>
      </c>
    </row>
    <row r="23" spans="1:3" ht="25.5">
      <c r="A23" s="477" t="s">
        <v>195</v>
      </c>
      <c r="B23" s="346">
        <v>3.73</v>
      </c>
      <c r="C23" s="259" t="s">
        <v>197</v>
      </c>
    </row>
    <row r="24" spans="1:3" ht="12.75">
      <c r="A24" s="477"/>
      <c r="B24" s="267">
        <f>(B17+B21)/1000000</f>
        <v>1.15</v>
      </c>
      <c r="C24" s="256" t="s">
        <v>198</v>
      </c>
    </row>
    <row r="25" spans="1:3" ht="38.25">
      <c r="A25" s="255" t="s">
        <v>199</v>
      </c>
      <c r="B25" s="347">
        <v>0.1269</v>
      </c>
      <c r="C25" s="256" t="s">
        <v>200</v>
      </c>
    </row>
    <row r="26" spans="1:3" ht="12.75">
      <c r="A26" s="255" t="s">
        <v>14</v>
      </c>
      <c r="B26" s="269">
        <v>18</v>
      </c>
      <c r="C26" s="256" t="s">
        <v>201</v>
      </c>
    </row>
    <row r="27" spans="1:3" ht="25.5">
      <c r="A27" s="255" t="s">
        <v>202</v>
      </c>
      <c r="B27" s="269">
        <v>1</v>
      </c>
      <c r="C27" s="256" t="s">
        <v>203</v>
      </c>
    </row>
    <row r="28" spans="1:3" ht="12.75">
      <c r="A28" s="260" t="s">
        <v>68</v>
      </c>
      <c r="B28" s="269">
        <v>1</v>
      </c>
      <c r="C28" s="257" t="s">
        <v>204</v>
      </c>
    </row>
    <row r="29" spans="1:3" ht="13.5">
      <c r="A29" s="261" t="s">
        <v>205</v>
      </c>
      <c r="B29" s="270">
        <f>(B17*B22+B21*B23)*B25*B27*B28+0.01</f>
        <v>542158.04</v>
      </c>
      <c r="C29" s="256" t="s">
        <v>206</v>
      </c>
    </row>
    <row r="30" spans="1:3" ht="12.75">
      <c r="A30" s="262" t="s">
        <v>14</v>
      </c>
      <c r="B30" s="271">
        <f>B29*B26/100-0.01</f>
        <v>97588.44</v>
      </c>
      <c r="C30" s="256" t="s">
        <v>207</v>
      </c>
    </row>
    <row r="31" spans="1:3" ht="12.75">
      <c r="A31" s="263" t="s">
        <v>122</v>
      </c>
      <c r="B31" s="272">
        <f>B29+B30</f>
        <v>639746.48</v>
      </c>
      <c r="C31" s="264" t="s">
        <v>208</v>
      </c>
    </row>
    <row r="32" spans="1:3" ht="12.75">
      <c r="A32" s="265"/>
      <c r="B32" s="266"/>
      <c r="C32" s="265"/>
    </row>
    <row r="33" spans="1:3" ht="12.75">
      <c r="A33" s="265" t="s">
        <v>209</v>
      </c>
      <c r="B33" s="266"/>
      <c r="C33" s="265"/>
    </row>
    <row r="34" spans="1:3" ht="12.75">
      <c r="A34" s="265"/>
      <c r="B34" s="266"/>
      <c r="C34" s="265"/>
    </row>
    <row r="35" spans="1:3" ht="12.75">
      <c r="A35" s="31"/>
      <c r="B35" s="31"/>
      <c r="C35" s="31"/>
    </row>
    <row r="36" spans="1:3" ht="12.75">
      <c r="A36" s="659" t="s">
        <v>263</v>
      </c>
      <c r="B36" s="659"/>
      <c r="C36" s="349" t="s">
        <v>270</v>
      </c>
    </row>
    <row r="37" spans="1:3" ht="12.75">
      <c r="A37" s="254"/>
      <c r="B37" s="254"/>
      <c r="C37" s="254"/>
    </row>
    <row r="38" spans="1:3" ht="12.75">
      <c r="A38" s="660"/>
      <c r="B38" s="660"/>
      <c r="C38" s="114"/>
    </row>
    <row r="39" spans="1:3" ht="12.75">
      <c r="A39" s="15"/>
      <c r="B39" s="15"/>
      <c r="C39" s="114"/>
    </row>
    <row r="40" spans="1:3" ht="12.75">
      <c r="A40" s="660"/>
      <c r="B40" s="660"/>
      <c r="C40" s="114"/>
    </row>
  </sheetData>
  <sheetProtection/>
  <mergeCells count="9">
    <mergeCell ref="A12:F12"/>
    <mergeCell ref="A36:B36"/>
    <mergeCell ref="A38:B38"/>
    <mergeCell ref="A40:B40"/>
    <mergeCell ref="E6:F6"/>
    <mergeCell ref="E7:F7"/>
    <mergeCell ref="A8:C8"/>
    <mergeCell ref="A10:C10"/>
    <mergeCell ref="A11:F11"/>
  </mergeCells>
  <printOptions/>
  <pageMargins left="0.7" right="0.7" top="0.75" bottom="0.75" header="0.3" footer="0.3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Шмыгов Руслан Владимирович</cp:lastModifiedBy>
  <cp:lastPrinted>2016-04-21T12:58:54Z</cp:lastPrinted>
  <dcterms:created xsi:type="dcterms:W3CDTF">2005-04-12T07:03:24Z</dcterms:created>
  <dcterms:modified xsi:type="dcterms:W3CDTF">2016-04-25T06:15:27Z</dcterms:modified>
  <cp:category/>
  <cp:version/>
  <cp:contentType/>
  <cp:contentStatus/>
</cp:coreProperties>
</file>