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8" activeTab="0"/>
  </bookViews>
  <sheets>
    <sheet name="Свод" sheetId="1" r:id="rId1"/>
    <sheet name="См№1 ПР" sheetId="2" r:id="rId2"/>
    <sheet name="См№ Геодез" sheetId="3" r:id="rId3"/>
    <sheet name="См№ Геолог" sheetId="4" r:id="rId4"/>
    <sheet name="См№ Экология" sheetId="5" r:id="rId5"/>
    <sheet name="Экспертиза" sheetId="6" r:id="rId6"/>
  </sheets>
  <definedNames>
    <definedName name="_xlnm.Print_Area" localSheetId="0">'Свод'!$A$1:$F$32</definedName>
    <definedName name="_xlnm.Print_Area" localSheetId="4">'См№ Экология'!$A$1:$M$70</definedName>
    <definedName name="_xlnm.Print_Area" localSheetId="1">'См№1 ПР'!$A$1:$V$46</definedName>
    <definedName name="_xlnm.Print_Area" localSheetId="5">'Экспертиза'!$A$1:$C$37</definedName>
  </definedNames>
  <calcPr fullCalcOnLoad="1" fullPrecision="0"/>
</workbook>
</file>

<file path=xl/sharedStrings.xml><?xml version="1.0" encoding="utf-8"?>
<sst xmlns="http://schemas.openxmlformats.org/spreadsheetml/2006/main" count="383" uniqueCount="269">
  <si>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</si>
  <si>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</si>
  <si>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</si>
  <si>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2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</si>
  <si>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</si>
  <si>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</si>
  <si>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</si>
  <si>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</si>
  <si>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</si>
  <si>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</si>
  <si>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</si>
  <si>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</si>
  <si>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3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</si>
  <si>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</si>
  <si>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</si>
  <si>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</si>
  <si>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</si>
  <si>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</si>
  <si>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</si>
  <si>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</si>
  <si>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</si>
  <si>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</si>
  <si>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№ п/п</t>
  </si>
  <si>
    <t>(</t>
  </si>
  <si>
    <t>+</t>
  </si>
  <si>
    <t>)*</t>
  </si>
  <si>
    <t>Ксл</t>
  </si>
  <si>
    <t>6</t>
  </si>
  <si>
    <t>Проектная документация</t>
  </si>
  <si>
    <t>40</t>
  </si>
  <si>
    <t>0,4</t>
  </si>
  <si>
    <t>Рабочаяая документация</t>
  </si>
  <si>
    <t>60</t>
  </si>
  <si>
    <t>0,6</t>
  </si>
  <si>
    <t xml:space="preserve">Итого, рублей </t>
  </si>
  <si>
    <t>а,тыс.руб.</t>
  </si>
  <si>
    <t xml:space="preserve">Итого, тыс.руб. </t>
  </si>
  <si>
    <t>7</t>
  </si>
  <si>
    <t xml:space="preserve">б,тыс.руб. </t>
  </si>
  <si>
    <t>х, Гкал/ч</t>
  </si>
  <si>
    <t>Разработка раздела ИТМ ГОЧС</t>
  </si>
  <si>
    <t xml:space="preserve">Общие указания 2002г. п.7.14.
СБЦ на проектные работы для строительства.
ИТМ ГОЧС 2006г.
</t>
  </si>
  <si>
    <t xml:space="preserve">Со, тыс.руб. </t>
  </si>
  <si>
    <t>Кис (таб.1)</t>
  </si>
  <si>
    <t>Кго</t>
  </si>
  <si>
    <t>Коб</t>
  </si>
  <si>
    <t>Кпр</t>
  </si>
  <si>
    <t>Кпф (табл.4)</t>
  </si>
  <si>
    <t>8</t>
  </si>
  <si>
    <t>9</t>
  </si>
  <si>
    <t xml:space="preserve"> </t>
  </si>
  <si>
    <t>Общие указания 2002г. п.7.15. СБЦ на проектные работы в строительстве "Объекты жилищно-гражданского строительства" (прим.)
ОП п. 1.6,  %</t>
  </si>
  <si>
    <t>Смета №2</t>
  </si>
  <si>
    <t>Виды работ</t>
  </si>
  <si>
    <t>Объемы</t>
  </si>
  <si>
    <t>Обоснование стоимости</t>
  </si>
  <si>
    <t>Расчет стоимости, руб.</t>
  </si>
  <si>
    <t>Исходные данные</t>
  </si>
  <si>
    <t>Итого: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</si>
  <si>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</si>
  <si>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</si>
  <si>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</si>
  <si>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</si>
  <si>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</si>
  <si>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</si>
  <si>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</si>
  <si>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</si>
  <si>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</si>
  <si>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</si>
  <si>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</si>
  <si>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</si>
  <si>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</si>
  <si>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</si>
  <si>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</si>
  <si>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</si>
  <si>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</si>
  <si>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</si>
  <si>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</si>
  <si>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</si>
  <si>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</si>
  <si>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</si>
  <si>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</si>
  <si>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</si>
  <si>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</si>
  <si>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</si>
  <si>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</si>
  <si>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</si>
  <si>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НДС,       рублей</t>
  </si>
  <si>
    <t>Стоимость работ с НДС,             рублей</t>
  </si>
  <si>
    <t>Экспертиза проектной документации</t>
  </si>
  <si>
    <t>Расчет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</si>
  <si>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</si>
  <si>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Наименование проектной организации:</t>
  </si>
  <si>
    <t>Проверил</t>
  </si>
  <si>
    <t>УТВЕРЖДАЮ</t>
  </si>
  <si>
    <t>ОАО "АТЭК"</t>
  </si>
  <si>
    <t>на проектные  работы</t>
  </si>
  <si>
    <t xml:space="preserve">                                                                                    УТВЕРЖДАЮ</t>
  </si>
  <si>
    <t>Расчет стоимости проведения негосударственной экспертизы</t>
  </si>
  <si>
    <t>Итого по смете с НДС:</t>
  </si>
  <si>
    <t>Итого по смете:</t>
  </si>
  <si>
    <t>х</t>
  </si>
  <si>
    <t>Стоимость работ с учетом районного коэффициента, коэффициента индекса цен</t>
  </si>
  <si>
    <t>от</t>
  </si>
  <si>
    <t xml:space="preserve">% </t>
  </si>
  <si>
    <t xml:space="preserve">СУБЦ –2001
п.13 Общих указаний               </t>
  </si>
  <si>
    <t>Расходы по организации и ликвидации работ на объекте</t>
  </si>
  <si>
    <t xml:space="preserve">СБЦ-2001 г.           Таблица 4 пар. 1                       Общих указаний      </t>
  </si>
  <si>
    <t>Расходы по внутреннему транспорту при расстоянии до объекта до 5 км.</t>
  </si>
  <si>
    <t>камеральные</t>
  </si>
  <si>
    <t>полевые</t>
  </si>
  <si>
    <t>Всего:</t>
  </si>
  <si>
    <t>п.15д ОУ к=</t>
  </si>
  <si>
    <t>п.15а ОУ к=</t>
  </si>
  <si>
    <t>Камеральные работы</t>
  </si>
  <si>
    <t>К исп. Трассопоискового оборудования</t>
  </si>
  <si>
    <t>Категория сложности - II</t>
  </si>
  <si>
    <t>Полевые работы</t>
  </si>
  <si>
    <t xml:space="preserve">СУБЦ –2001
табл.9 § 5                                         прим.4 использ. трассопоискового оборудования                                             </t>
  </si>
  <si>
    <t>Создание инженерно-топографического плана масштаба 1:500 с сечением рельефа  через 0.5 м  на застроенной территории</t>
  </si>
  <si>
    <t>Общая площадь участков, га</t>
  </si>
  <si>
    <t xml:space="preserve">Стоимость   руб </t>
  </si>
  <si>
    <t>№ п/п в руб.</t>
  </si>
  <si>
    <t xml:space="preserve">                                                    </t>
  </si>
  <si>
    <t>на выполнение инженерно-геодезических изысканий</t>
  </si>
  <si>
    <t>Стоимость работ инженерно-геологических изысканий с НДС</t>
  </si>
  <si>
    <t>Итого по позиции IV</t>
  </si>
  <si>
    <t>21% от п.19</t>
  </si>
  <si>
    <t>Табл. 87, §1</t>
  </si>
  <si>
    <t>Составление технического отчёта</t>
  </si>
  <si>
    <t>500.00 * 1.25</t>
  </si>
  <si>
    <t>Табл. 81, §1, прим. 1</t>
  </si>
  <si>
    <t>Составление программы работ</t>
  </si>
  <si>
    <t>Позиция IV</t>
  </si>
  <si>
    <t>Итого по позиции III</t>
  </si>
  <si>
    <t>Табл. 86, §1</t>
  </si>
  <si>
    <t>Камеральная обработка данных лабораторных исследований</t>
  </si>
  <si>
    <t>Табл. 82 § 1</t>
  </si>
  <si>
    <t>Камеральная обработка буровых работ</t>
  </si>
  <si>
    <t>Табл.78 §1</t>
  </si>
  <si>
    <t>Сбор изучение и систематизация материалов изысканий прошлых лет, 100м.</t>
  </si>
  <si>
    <t>Позиция III</t>
  </si>
  <si>
    <t>Итого по позиции II</t>
  </si>
  <si>
    <t>Табл.75 §5</t>
  </si>
  <si>
    <t xml:space="preserve">Коррозийная активность грунтов по отношению к бетону </t>
  </si>
  <si>
    <t xml:space="preserve">Табл. 75 § 1,2,4 </t>
  </si>
  <si>
    <t>Определение коррозионной активности грунта по отношению к стали.</t>
  </si>
  <si>
    <t>Табл. 63, §28</t>
  </si>
  <si>
    <t xml:space="preserve"> Полный комплекс определения физических свойств глинистых грунтов</t>
  </si>
  <si>
    <t>Позиция II</t>
  </si>
  <si>
    <t>Итого по позиции I</t>
  </si>
  <si>
    <t xml:space="preserve">6% от стоимости полевых работ с учётом п. 6 </t>
  </si>
  <si>
    <t>Общие указания, п. 13, примеч.1</t>
  </si>
  <si>
    <t xml:space="preserve">Расходы по организации и ликвидации работ </t>
  </si>
  <si>
    <t>8,75% от стоимости полевых работ</t>
  </si>
  <si>
    <t>Табл.4§2.</t>
  </si>
  <si>
    <t>Расходы по внутреннему транспорту, расстояние до участка изысканий до 5 км.</t>
  </si>
  <si>
    <t>Табл. 57, §1.</t>
  </si>
  <si>
    <t>Отбор монолитов из скважин  в интервале 0-10 м., шт.</t>
  </si>
  <si>
    <t>Табл. 17, §1</t>
  </si>
  <si>
    <t>Колонковое бурение диаметром до 160 мм глубиной до 15м: порода II категории.</t>
  </si>
  <si>
    <t>Табл.93, 
прим. § 3</t>
  </si>
  <si>
    <t>Планово-высотная привязка скважин                     II категории</t>
  </si>
  <si>
    <t xml:space="preserve">Табл.93, 
прим. § 3
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</si>
  <si>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</si>
  <si>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>Позиция I</t>
  </si>
  <si>
    <t>Общее количество п. метров</t>
  </si>
  <si>
    <t>Общее кол-во скважин, шт</t>
  </si>
  <si>
    <t>Глубина проходки, м</t>
  </si>
  <si>
    <t>Кол-во скважин, шт</t>
  </si>
  <si>
    <t>К - индексации</t>
  </si>
  <si>
    <t>К - районный</t>
  </si>
  <si>
    <t>Исходные данные: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</si>
  <si>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</si>
  <si>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Инженерно-геологические изыскания</t>
  </si>
  <si>
    <t>1991 г.</t>
  </si>
  <si>
    <t>Стоимость, руб.</t>
  </si>
  <si>
    <t>Общая цена</t>
  </si>
  <si>
    <t>Обоснование</t>
  </si>
  <si>
    <t xml:space="preserve"> на инженерно-геологические изыскания</t>
  </si>
  <si>
    <t>ИТОГО с учетом договорного коэффициента К=</t>
  </si>
  <si>
    <t>ИТОГО инженерно-экологических работ</t>
  </si>
  <si>
    <t>Стоимость работ с учетом районного коэффициента и коэффициента индекса цен</t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</si>
  <si>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</si>
  <si>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t xml:space="preserve">ОУ п.13 </t>
  </si>
  <si>
    <t>Организация и ликвидация работ</t>
  </si>
  <si>
    <t>Таблица 4, §1</t>
  </si>
  <si>
    <t>Расходы на внутрений транспорт</t>
  </si>
  <si>
    <t>Таблица 87, п.1</t>
  </si>
  <si>
    <t>Составление технического отчета о результатах выполненных работ, кат.сложности - 1</t>
  </si>
  <si>
    <t xml:space="preserve">Итого Лабораторные работы </t>
  </si>
  <si>
    <t>Таблица 70, §63</t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</si>
  <si>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</si>
  <si>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Таблица 70, §60</t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</si>
  <si>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</si>
  <si>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</si>
  <si>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</si>
  <si>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t>Лабораторные работы</t>
  </si>
  <si>
    <t>камеральных работ:</t>
  </si>
  <si>
    <t>в том числе полевых работ:</t>
  </si>
  <si>
    <t>камеральные работы</t>
  </si>
  <si>
    <t>полевые работы</t>
  </si>
  <si>
    <t>Таблица 92, §3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</si>
  <si>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</si>
  <si>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>§10</t>
  </si>
  <si>
    <t xml:space="preserve"> - почвогрунтов, 1проба</t>
  </si>
  <si>
    <t>Отбор проб для бактериологического анализа:</t>
  </si>
  <si>
    <r>
      <t xml:space="preserve">§7
примечание 1 </t>
    </r>
    <r>
      <rPr>
        <i/>
        <sz val="10"/>
        <rFont val="Times New Roman"/>
        <family val="1"/>
      </rPr>
      <t>(отбор объединенной пробы)</t>
    </r>
  </si>
  <si>
    <t xml:space="preserve"> - почвогрунтов почво-грунтов (методами конверта, по диагонали и т.п.), 1 проб</t>
  </si>
  <si>
    <t>Таблица 60</t>
  </si>
  <si>
    <t>Отбор проб на загрязненность по хим. показателям:</t>
  </si>
  <si>
    <r>
      <t xml:space="preserve">Глава 2, п.5 </t>
    </r>
    <r>
      <rPr>
        <i/>
        <sz val="10"/>
        <rFont val="Times New Roman"/>
        <family val="1"/>
      </rPr>
      <t>(наблюдение при составлении карт узких полос вдоль трасс линейных сооружений)</t>
    </r>
  </si>
  <si>
    <t>Таблица 11, §2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</si>
  <si>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</si>
  <si>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t>Табл. 10, §4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</si>
  <si>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</si>
  <si>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Табл. 9, §5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</si>
  <si>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0,5 км</t>
    </r>
  </si>
  <si>
    <t xml:space="preserve">I. </t>
  </si>
  <si>
    <t>площадь участка,га</t>
  </si>
  <si>
    <t>К - итоговый (таб. 3 Общ.указ.)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</si>
  <si>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</si>
  <si>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Расчет стоимости (а+в*х), или (Объем СМР)*Х%/200, или                                                               цена (руб)* кол-во</t>
  </si>
  <si>
    <t>№№ частей, глав таблиц, пунктов указаний к разделу или главе Сборника ценна ПИР для строительства</t>
  </si>
  <si>
    <t>на инженерно-экологические работы</t>
  </si>
  <si>
    <t>Смета № 4</t>
  </si>
  <si>
    <t>Письмо Минстроя России от 19.02.2016 N 4688-ХМ/05</t>
  </si>
  <si>
    <t>Инженерно-геодезические изыскания</t>
  </si>
  <si>
    <t>Смета № 3</t>
  </si>
  <si>
    <t>Инженерно-экологические изыскания</t>
  </si>
  <si>
    <t>Смета № 5</t>
  </si>
  <si>
    <t>Смета №4</t>
  </si>
  <si>
    <t>Котельная 9,03 Гкал/ч</t>
  </si>
  <si>
    <t>Разработка раздела ООС</t>
  </si>
  <si>
    <t>Составил: _________________________</t>
  </si>
  <si>
    <t>"_____" _____________________ 2019 г.</t>
  </si>
  <si>
    <t>АО "АТЭК"</t>
  </si>
  <si>
    <t>Наименование организации-заказчика: АО "АТЭК"</t>
  </si>
  <si>
    <t>К инф.индекс (Письмо Минстроя РФ  №13606-ХМ/09 от 04.04.2018г.)</t>
  </si>
  <si>
    <t>К город с количеством жителей от 500 тыс до 1 млн</t>
  </si>
  <si>
    <t>К Сейсмичность района 7 баллов</t>
  </si>
  <si>
    <t xml:space="preserve"> К3 инф.индекс (Письмо Минстроя РФ  №13606-ХМ/09 от 04.04.2018г.)</t>
  </si>
  <si>
    <t>НДС 20%</t>
  </si>
  <si>
    <t>Итого в текущих ценах 1кв.2019г с Договорным коэффициентом и НДС</t>
  </si>
  <si>
    <t xml:space="preserve">  Итого в текущих ценах 1кв.2019 г. с договорным коэффициентом и НДС </t>
  </si>
  <si>
    <t>1кв.2019 г.</t>
  </si>
  <si>
    <t>НДС 20 %</t>
  </si>
  <si>
    <t xml:space="preserve"> Итого в текущих ценах 1кв.2019 г. с договорным коэффициентом и НДС </t>
  </si>
  <si>
    <t>К - индексации 1кв.2019</t>
  </si>
  <si>
    <t>1 кв.2019 г.</t>
  </si>
  <si>
    <t xml:space="preserve">                                                                                    АО "АТЭК"</t>
  </si>
  <si>
    <t xml:space="preserve">                                                                                   "_____" _____________________ 2019 г.</t>
  </si>
  <si>
    <t>Составил:</t>
  </si>
  <si>
    <t>К объем работ, % 
ПЗ-2
ПЗУ-2
КР-2
ИОС 1.2 (ЭС. ЭО)-2
ИОС 2.3.2 (НВК)-1,5
ИОС 4.2 (ТС)-1
ИОС 5.2 (СС)-0,5
ОИС 6.2 (ГСН)-1,5
ИОС 7.1 (ТХ)-5
ПОС-3,0
ПБ-3,0
СМ-3,0</t>
  </si>
  <si>
    <t>Составил</t>
  </si>
  <si>
    <t xml:space="preserve">                                                                     </t>
  </si>
  <si>
    <t>Г.И.Тарарухин</t>
  </si>
  <si>
    <t xml:space="preserve">Генеральный директор </t>
  </si>
  <si>
    <t xml:space="preserve">_______________ В.А.Василенко </t>
  </si>
  <si>
    <r>
      <t xml:space="preserve">_________________ </t>
    </r>
    <r>
      <rPr>
        <sz val="11"/>
        <rFont val="Times New Roman"/>
        <family val="1"/>
      </rPr>
      <t>В.А.Василенко</t>
    </r>
  </si>
  <si>
    <r>
      <t xml:space="preserve">_________________ </t>
    </r>
    <r>
      <rPr>
        <sz val="11"/>
        <rFont val="Times New Roman"/>
        <family val="1"/>
      </rPr>
      <t>В.А.Василенко</t>
    </r>
    <r>
      <rPr>
        <sz val="10"/>
        <rFont val="Times New Roman"/>
        <family val="1"/>
      </rPr>
      <t xml:space="preserve"> </t>
    </r>
  </si>
  <si>
    <r>
      <t>_______________</t>
    </r>
    <r>
      <rPr>
        <sz val="11"/>
        <rFont val="Times New Roman"/>
        <family val="1"/>
      </rPr>
      <t xml:space="preserve"> В.А.Василенко </t>
    </r>
  </si>
  <si>
    <r>
      <t xml:space="preserve">________________ </t>
    </r>
    <r>
      <rPr>
        <sz val="11"/>
        <rFont val="Times New Roman"/>
        <family val="1"/>
      </rPr>
      <t>В.А.Василенко</t>
    </r>
  </si>
  <si>
    <t xml:space="preserve">                                                                                    Генеральный директор </t>
  </si>
  <si>
    <r>
      <t xml:space="preserve">                                                                                   ____________ </t>
    </r>
    <r>
      <rPr>
        <sz val="11"/>
        <rFont val="Times New Roman"/>
        <family val="1"/>
      </rPr>
      <t xml:space="preserve">В.А.Василенко </t>
    </r>
  </si>
  <si>
    <t xml:space="preserve">Наименование объекта: «Новая котельная на ул, Наримановская/ул. Им. Лукьяненко, 16/1»                                                                        
</t>
  </si>
  <si>
    <r>
      <t xml:space="preserve">Наименование объекта: </t>
    </r>
    <r>
      <rPr>
        <b/>
        <sz val="10"/>
        <rFont val="Times New Roman"/>
        <family val="1"/>
      </rPr>
      <t xml:space="preserve">«Новая котельная на ул, Наримановская/ул.им. Лукьяненко, 16/1»      </t>
    </r>
  </si>
  <si>
    <t xml:space="preserve">Наименование объекта: «Новая котельная на ул, Наримановская/ул. им. Лукьяненко, 16/1»      </t>
  </si>
  <si>
    <t xml:space="preserve">Наименование объекта: «Новая котельная на ул, Наримановская/ул. им. Лукьяненко, 16/1»                                                                        
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</si>
</sst>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_(* #,##0.00_);_(* \(#,##0.00\);_(* &quot;-&quot;??_);_(@_)"/>
    <numFmt numFmtId="182" formatCode="_-* #,##0.00000_р_._-;\-* #,##0.00000_р_._-;_-* &quot;-&quot;??_р_._-;_-@_-"/>
    <numFmt numFmtId="183" formatCode="0.0"/>
    <numFmt numFmtId="184" formatCode="#,##0.0"/>
    <numFmt numFmtId="185" formatCode="0.0000"/>
    <numFmt numFmtId="186" formatCode="0.00000"/>
    <numFmt numFmtId="187" formatCode="[$-FC19]d\ mmmm\ yyyy\ &quot;г.&quot;"/>
    <numFmt numFmtId="188" formatCode="_-* #,##0.000000_р_._-;\-* #,##0.000000_р_._-;_-* &quot;-&quot;??_р_._-;_-@_-"/>
    <numFmt numFmtId="189" formatCode="_-* #,##0.0000_р_._-;\-* #,##0.0000_р_._-;_-* &quot;-&quot;??_р_._-;_-@_-"/>
    <numFmt numFmtId="190" formatCode="_-* #,##0.000_р_._-;\-* #,##0.000_р_._-;_-* &quot;-&quot;??_р_._-;_-@_-"/>
    <numFmt numFmtId="191" formatCode="#,##0.000"/>
    <numFmt numFmtId="192" formatCode="#,##0.0000"/>
    <numFmt numFmtId="193" formatCode="0.000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dd/mm/yyyy&quot; г.&quot;"/>
    <numFmt numFmtId="202" formatCode="#,##0.00000"/>
    <numFmt numFmtId="203" formatCode="#,##0.000000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00000000_);_(* \(#,##0.000000000\);_(* &quot;-&quot;??_);_(@_)"/>
    <numFmt numFmtId="215" formatCode="0.000000000000000"/>
    <numFmt numFmtId="216" formatCode="0.000000000000000000"/>
    <numFmt numFmtId="217" formatCode="_-* #,##0\ _р_._-;\-* #,##0\ _р_._-;_-* &quot;-&quot;\ 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181" fontId="3" fillId="0" borderId="0" xfId="7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52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3" fillId="0" borderId="0" xfId="57" applyFont="1">
      <alignment/>
      <protection/>
    </xf>
    <xf numFmtId="0" fontId="3" fillId="0" borderId="12" xfId="57" applyFont="1" applyBorder="1">
      <alignment/>
      <protection/>
    </xf>
    <xf numFmtId="0" fontId="4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49" fontId="3" fillId="0" borderId="14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4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49" fontId="3" fillId="0" borderId="17" xfId="57" applyNumberFormat="1" applyFont="1" applyBorder="1" applyAlignment="1">
      <alignment horizontal="left" wrapText="1"/>
      <protection/>
    </xf>
    <xf numFmtId="49" fontId="3" fillId="0" borderId="17" xfId="57" applyNumberFormat="1" applyFont="1" applyBorder="1" applyAlignment="1">
      <alignment wrapText="1"/>
      <protection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8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0" fontId="3" fillId="0" borderId="19" xfId="54" applyFont="1" applyBorder="1" applyAlignment="1">
      <alignment horizontal="left" vertical="center"/>
      <protection/>
    </xf>
    <xf numFmtId="0" fontId="3" fillId="0" borderId="20" xfId="54" applyFont="1" applyBorder="1" applyAlignment="1">
      <alignment horizontal="left" vertical="center" wrapText="1" indent="1"/>
      <protection/>
    </xf>
    <xf numFmtId="0" fontId="3" fillId="0" borderId="20" xfId="54" applyFont="1" applyBorder="1" applyAlignment="1">
      <alignment horizontal="left" vertical="center" indent="1"/>
      <protection/>
    </xf>
    <xf numFmtId="0" fontId="3" fillId="0" borderId="21" xfId="54" applyFont="1" applyFill="1" applyBorder="1" applyAlignment="1">
      <alignment vertical="center" wrapText="1"/>
      <protection/>
    </xf>
    <xf numFmtId="0" fontId="3" fillId="0" borderId="22" xfId="54" applyFont="1" applyFill="1" applyBorder="1" applyAlignment="1">
      <alignment vertical="center" wrapText="1"/>
      <protection/>
    </xf>
    <xf numFmtId="0" fontId="3" fillId="0" borderId="19" xfId="54" applyFont="1" applyBorder="1" applyAlignment="1">
      <alignment vertical="center"/>
      <protection/>
    </xf>
    <xf numFmtId="0" fontId="8" fillId="0" borderId="19" xfId="54" applyFont="1" applyBorder="1" applyAlignment="1">
      <alignment vertical="center"/>
      <protection/>
    </xf>
    <xf numFmtId="0" fontId="4" fillId="0" borderId="19" xfId="54" applyFont="1" applyBorder="1" applyAlignment="1">
      <alignment vertical="center"/>
      <protection/>
    </xf>
    <xf numFmtId="0" fontId="4" fillId="0" borderId="23" xfId="54" applyFont="1" applyBorder="1" applyAlignment="1">
      <alignment vertical="center"/>
      <protection/>
    </xf>
    <xf numFmtId="0" fontId="3" fillId="0" borderId="24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4" fontId="4" fillId="0" borderId="25" xfId="54" applyNumberFormat="1" applyFont="1" applyFill="1" applyBorder="1" applyAlignment="1">
      <alignment horizontal="right" vertical="center"/>
      <protection/>
    </xf>
    <xf numFmtId="201" fontId="3" fillId="0" borderId="25" xfId="54" applyNumberFormat="1" applyFont="1" applyFill="1" applyBorder="1" applyAlignment="1">
      <alignment horizontal="right" vertical="center"/>
      <protection/>
    </xf>
    <xf numFmtId="4" fontId="3" fillId="0" borderId="25" xfId="54" applyNumberFormat="1" applyFont="1" applyFill="1" applyBorder="1" applyAlignment="1">
      <alignment horizontal="right" vertical="center"/>
      <protection/>
    </xf>
    <xf numFmtId="4" fontId="4" fillId="0" borderId="25" xfId="54" applyNumberFormat="1" applyFont="1" applyFill="1" applyBorder="1" applyAlignment="1">
      <alignment vertical="center"/>
      <protection/>
    </xf>
    <xf numFmtId="4" fontId="3" fillId="0" borderId="25" xfId="54" applyNumberFormat="1" applyFont="1" applyFill="1" applyBorder="1" applyAlignment="1">
      <alignment vertical="center"/>
      <protection/>
    </xf>
    <xf numFmtId="4" fontId="4" fillId="0" borderId="26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3" fillId="0" borderId="0" xfId="57" applyFont="1" applyAlignment="1">
      <alignment horizontal="center" vertical="center"/>
      <protection/>
    </xf>
    <xf numFmtId="191" fontId="3" fillId="0" borderId="25" xfId="54" applyNumberFormat="1" applyFont="1" applyFill="1" applyBorder="1" applyAlignment="1">
      <alignment horizontal="right" vertical="center"/>
      <protection/>
    </xf>
    <xf numFmtId="192" fontId="3" fillId="0" borderId="25" xfId="54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3" fillId="0" borderId="0" xfId="57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179" fontId="3" fillId="0" borderId="0" xfId="75" applyNumberFormat="1" applyFont="1" applyAlignment="1">
      <alignment horizontal="right"/>
    </xf>
    <xf numFmtId="0" fontId="3" fillId="0" borderId="17" xfId="0" applyFont="1" applyBorder="1" applyAlignment="1">
      <alignment/>
    </xf>
    <xf numFmtId="215" fontId="3" fillId="0" borderId="0" xfId="0" applyNumberFormat="1" applyFont="1" applyAlignment="1">
      <alignment horizontal="center"/>
    </xf>
    <xf numFmtId="215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4" fillId="0" borderId="0" xfId="57" applyNumberFormat="1" applyFont="1" applyAlignment="1">
      <alignment horizontal="center" vertical="top" wrapText="1"/>
      <protection/>
    </xf>
    <xf numFmtId="49" fontId="3" fillId="0" borderId="0" xfId="57" applyNumberFormat="1" applyFont="1" applyAlignment="1">
      <alignment horizontal="center" wrapText="1"/>
      <protection/>
    </xf>
    <xf numFmtId="49" fontId="3" fillId="0" borderId="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49" fontId="3" fillId="0" borderId="14" xfId="57" applyNumberFormat="1" applyFont="1" applyBorder="1" applyAlignment="1">
      <alignment horizontal="center" vertical="top" wrapText="1"/>
      <protection/>
    </xf>
    <xf numFmtId="49" fontId="3" fillId="0" borderId="14" xfId="57" applyNumberFormat="1" applyFont="1" applyFill="1" applyBorder="1" applyAlignment="1">
      <alignment vertical="top" wrapText="1"/>
      <protection/>
    </xf>
    <xf numFmtId="0" fontId="53" fillId="0" borderId="17" xfId="0" applyFont="1" applyBorder="1" applyAlignment="1">
      <alignment horizontal="right"/>
    </xf>
    <xf numFmtId="2" fontId="3" fillId="0" borderId="17" xfId="57" applyNumberFormat="1" applyFont="1" applyBorder="1" applyAlignment="1">
      <alignment horizontal="right" wrapText="1"/>
      <protection/>
    </xf>
    <xf numFmtId="0" fontId="3" fillId="0" borderId="17" xfId="57" applyNumberFormat="1" applyFont="1" applyBorder="1" applyAlignment="1">
      <alignment wrapText="1"/>
      <protection/>
    </xf>
    <xf numFmtId="0" fontId="3" fillId="0" borderId="17" xfId="57" applyNumberFormat="1" applyFont="1" applyBorder="1" applyAlignment="1">
      <alignment horizontal="left" wrapText="1"/>
      <protection/>
    </xf>
    <xf numFmtId="180" fontId="3" fillId="0" borderId="17" xfId="57" applyNumberFormat="1" applyFont="1" applyBorder="1" applyAlignment="1">
      <alignment horizontal="left" wrapText="1"/>
      <protection/>
    </xf>
    <xf numFmtId="191" fontId="3" fillId="0" borderId="14" xfId="57" applyNumberFormat="1" applyFont="1" applyBorder="1" applyAlignment="1">
      <alignment horizontal="right" wrapText="1"/>
      <protection/>
    </xf>
    <xf numFmtId="49" fontId="3" fillId="0" borderId="12" xfId="57" applyNumberFormat="1" applyFont="1" applyBorder="1" applyAlignment="1">
      <alignment horizontal="center" wrapText="1"/>
      <protection/>
    </xf>
    <xf numFmtId="49" fontId="3" fillId="0" borderId="12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Border="1" applyAlignment="1">
      <alignment horizontal="left" vertical="top" wrapText="1"/>
      <protection/>
    </xf>
    <xf numFmtId="2" fontId="3" fillId="0" borderId="18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49" fontId="3" fillId="0" borderId="0" xfId="57" applyNumberFormat="1" applyFont="1" applyBorder="1" applyAlignment="1">
      <alignment horizontal="left" vertical="top" wrapText="1"/>
      <protection/>
    </xf>
    <xf numFmtId="49" fontId="3" fillId="0" borderId="27" xfId="57" applyNumberFormat="1" applyFont="1" applyBorder="1" applyAlignment="1">
      <alignment horizontal="left" vertical="top" wrapText="1"/>
      <protection/>
    </xf>
    <xf numFmtId="180" fontId="3" fillId="0" borderId="12" xfId="57" applyNumberFormat="1" applyFont="1" applyBorder="1" applyAlignment="1">
      <alignment horizontal="right" vertical="top" wrapText="1"/>
      <protection/>
    </xf>
    <xf numFmtId="0" fontId="3" fillId="0" borderId="18" xfId="57" applyNumberFormat="1" applyFont="1" applyBorder="1" applyAlignment="1">
      <alignment horizontal="left" vertical="top" wrapText="1"/>
      <protection/>
    </xf>
    <xf numFmtId="0" fontId="3" fillId="0" borderId="0" xfId="57" applyNumberFormat="1" applyFont="1" applyBorder="1" applyAlignment="1">
      <alignment horizontal="right" wrapText="1"/>
      <protection/>
    </xf>
    <xf numFmtId="0" fontId="3" fillId="0" borderId="0" xfId="57" applyNumberFormat="1" applyFont="1" applyBorder="1" applyAlignment="1">
      <alignment horizontal="left" wrapText="1"/>
      <protection/>
    </xf>
    <xf numFmtId="0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wrapText="1"/>
      <protection/>
    </xf>
    <xf numFmtId="49" fontId="3" fillId="0" borderId="0" xfId="57" applyNumberFormat="1" applyFont="1" applyBorder="1" applyAlignment="1">
      <alignment horizontal="left" wrapText="1"/>
      <protection/>
    </xf>
    <xf numFmtId="183" fontId="3" fillId="0" borderId="0" xfId="57" applyNumberFormat="1" applyFont="1" applyBorder="1" applyAlignment="1">
      <alignment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49" fontId="3" fillId="0" borderId="18" xfId="57" applyNumberFormat="1" applyFont="1" applyFill="1" applyBorder="1" applyAlignment="1">
      <alignment vertical="top" wrapText="1"/>
      <protection/>
    </xf>
    <xf numFmtId="0" fontId="3" fillId="0" borderId="10" xfId="57" applyNumberFormat="1" applyFont="1" applyFill="1" applyBorder="1" applyAlignment="1">
      <alignment horizontal="left" vertical="top" wrapText="1"/>
      <protection/>
    </xf>
    <xf numFmtId="49" fontId="3" fillId="0" borderId="18" xfId="57" applyNumberFormat="1" applyFont="1" applyBorder="1" applyAlignment="1">
      <alignment horizontal="center" wrapText="1"/>
      <protection/>
    </xf>
    <xf numFmtId="0" fontId="3" fillId="0" borderId="16" xfId="57" applyNumberFormat="1" applyFont="1" applyBorder="1" applyAlignment="1">
      <alignment horizontal="left" vertical="top" wrapText="1"/>
      <protection/>
    </xf>
    <xf numFmtId="49" fontId="3" fillId="0" borderId="16" xfId="57" applyNumberFormat="1" applyFont="1" applyBorder="1" applyAlignment="1">
      <alignment horizontal="left" vertical="top" wrapText="1"/>
      <protection/>
    </xf>
    <xf numFmtId="49" fontId="3" fillId="0" borderId="28" xfId="57" applyNumberFormat="1" applyFont="1" applyBorder="1" applyAlignment="1">
      <alignment horizontal="left" vertical="top" wrapText="1"/>
      <protection/>
    </xf>
    <xf numFmtId="180" fontId="3" fillId="0" borderId="18" xfId="57" applyNumberFormat="1" applyFont="1" applyBorder="1" applyAlignment="1">
      <alignment horizontal="right" vertical="top" wrapText="1"/>
      <protection/>
    </xf>
    <xf numFmtId="49" fontId="3" fillId="0" borderId="12" xfId="57" applyNumberFormat="1" applyFont="1" applyBorder="1" applyAlignment="1">
      <alignment horizontal="center" vertical="top" wrapText="1"/>
      <protection/>
    </xf>
    <xf numFmtId="49" fontId="3" fillId="0" borderId="14" xfId="57" applyNumberFormat="1" applyFont="1" applyBorder="1" applyAlignment="1">
      <alignment horizontal="left" vertical="top" wrapText="1"/>
      <protection/>
    </xf>
    <xf numFmtId="183" fontId="3" fillId="0" borderId="17" xfId="57" applyNumberFormat="1" applyFont="1" applyBorder="1" applyAlignment="1">
      <alignment horizontal="right" wrapText="1"/>
      <protection/>
    </xf>
    <xf numFmtId="0" fontId="53" fillId="0" borderId="17" xfId="0" applyFont="1" applyBorder="1" applyAlignment="1">
      <alignment/>
    </xf>
    <xf numFmtId="0" fontId="3" fillId="0" borderId="17" xfId="57" applyNumberFormat="1" applyFont="1" applyBorder="1" applyAlignment="1">
      <alignment horizontal="right" wrapText="1"/>
      <protection/>
    </xf>
    <xf numFmtId="2" fontId="3" fillId="0" borderId="17" xfId="57" applyNumberFormat="1" applyFont="1" applyBorder="1" applyAlignment="1">
      <alignment horizontal="center" wrapText="1"/>
      <protection/>
    </xf>
    <xf numFmtId="183" fontId="3" fillId="0" borderId="17" xfId="57" applyNumberFormat="1" applyFont="1" applyBorder="1" applyAlignment="1">
      <alignment wrapText="1"/>
      <protection/>
    </xf>
    <xf numFmtId="4" fontId="3" fillId="0" borderId="14" xfId="57" applyNumberFormat="1" applyFont="1" applyBorder="1" applyAlignment="1">
      <alignment horizontal="center" wrapText="1"/>
      <protection/>
    </xf>
    <xf numFmtId="49" fontId="3" fillId="0" borderId="11" xfId="57" applyNumberFormat="1" applyFont="1" applyBorder="1" applyAlignment="1">
      <alignment horizontal="left" vertical="top" wrapText="1"/>
      <protection/>
    </xf>
    <xf numFmtId="180" fontId="3" fillId="0" borderId="14" xfId="57" applyNumberFormat="1" applyFont="1" applyBorder="1" applyAlignment="1">
      <alignment horizontal="right" wrapText="1"/>
      <protection/>
    </xf>
    <xf numFmtId="2" fontId="3" fillId="0" borderId="0" xfId="57" applyNumberFormat="1" applyFont="1" applyBorder="1" applyAlignment="1">
      <alignment horizontal="right" wrapText="1"/>
      <protection/>
    </xf>
    <xf numFmtId="0" fontId="53" fillId="0" borderId="0" xfId="0" applyFont="1" applyBorder="1" applyAlignment="1">
      <alignment/>
    </xf>
    <xf numFmtId="2" fontId="3" fillId="0" borderId="0" xfId="57" applyNumberFormat="1" applyFont="1" applyBorder="1" applyAlignment="1">
      <alignment horizontal="left" wrapText="1"/>
      <protection/>
    </xf>
    <xf numFmtId="49" fontId="3" fillId="0" borderId="12" xfId="57" applyNumberFormat="1" applyFont="1" applyBorder="1" applyAlignment="1">
      <alignment horizontal="left" vertical="top" wrapText="1"/>
      <protection/>
    </xf>
    <xf numFmtId="2" fontId="3" fillId="0" borderId="10" xfId="57" applyNumberFormat="1" applyFont="1" applyBorder="1" applyAlignment="1">
      <alignment horizontal="left" vertical="top" wrapText="1"/>
      <protection/>
    </xf>
    <xf numFmtId="2" fontId="3" fillId="0" borderId="13" xfId="57" applyNumberFormat="1" applyFont="1" applyBorder="1" applyAlignment="1">
      <alignment horizontal="right" vertical="top" wrapText="1"/>
      <protection/>
    </xf>
    <xf numFmtId="0" fontId="53" fillId="0" borderId="0" xfId="0" applyFont="1" applyBorder="1" applyAlignment="1">
      <alignment vertical="top"/>
    </xf>
    <xf numFmtId="2" fontId="3" fillId="0" borderId="0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right" vertical="top" wrapText="1"/>
      <protection/>
    </xf>
    <xf numFmtId="0" fontId="3" fillId="0" borderId="0" xfId="57" applyNumberFormat="1" applyFont="1" applyBorder="1" applyAlignment="1">
      <alignment horizontal="center" vertical="top" wrapText="1"/>
      <protection/>
    </xf>
    <xf numFmtId="0" fontId="3" fillId="0" borderId="13" xfId="57" applyNumberFormat="1" applyFont="1" applyBorder="1" applyAlignment="1">
      <alignment horizontal="left" vertical="top" wrapText="1"/>
      <protection/>
    </xf>
    <xf numFmtId="4" fontId="3" fillId="0" borderId="12" xfId="57" applyNumberFormat="1" applyFont="1" applyBorder="1" applyAlignment="1">
      <alignment vertical="top" wrapText="1"/>
      <protection/>
    </xf>
    <xf numFmtId="49" fontId="3" fillId="0" borderId="18" xfId="57" applyNumberFormat="1" applyFont="1" applyBorder="1" applyAlignment="1">
      <alignment horizontal="left" vertical="top" wrapText="1"/>
      <protection/>
    </xf>
    <xf numFmtId="0" fontId="3" fillId="0" borderId="29" xfId="57" applyNumberFormat="1" applyFont="1" applyBorder="1" applyAlignment="1">
      <alignment horizontal="left" vertical="top" wrapText="1"/>
      <protection/>
    </xf>
    <xf numFmtId="4" fontId="3" fillId="0" borderId="18" xfId="57" applyNumberFormat="1" applyFont="1" applyBorder="1" applyAlignment="1">
      <alignment vertical="top" wrapText="1"/>
      <protection/>
    </xf>
    <xf numFmtId="180" fontId="3" fillId="0" borderId="14" xfId="57" applyNumberFormat="1" applyFont="1" applyBorder="1" applyAlignment="1">
      <alignment horizontal="right" vertical="top" wrapText="1"/>
      <protection/>
    </xf>
    <xf numFmtId="49" fontId="3" fillId="0" borderId="30" xfId="57" applyNumberFormat="1" applyFont="1" applyBorder="1" applyAlignment="1">
      <alignment horizontal="center" vertical="top" wrapText="1"/>
      <protection/>
    </xf>
    <xf numFmtId="49" fontId="3" fillId="0" borderId="10" xfId="57" applyNumberFormat="1" applyFont="1" applyBorder="1" applyAlignment="1">
      <alignment horizontal="left" vertical="top" wrapText="1"/>
      <protection/>
    </xf>
    <xf numFmtId="0" fontId="3" fillId="0" borderId="11" xfId="57" applyNumberFormat="1" applyFont="1" applyBorder="1" applyAlignment="1">
      <alignment horizontal="left" vertical="top" wrapText="1"/>
      <protection/>
    </xf>
    <xf numFmtId="0" fontId="3" fillId="0" borderId="10" xfId="57" applyNumberFormat="1" applyFont="1" applyBorder="1" applyAlignment="1">
      <alignment horizontal="center" vertical="top" wrapText="1"/>
      <protection/>
    </xf>
    <xf numFmtId="0" fontId="3" fillId="0" borderId="11" xfId="57" applyNumberFormat="1" applyFont="1" applyBorder="1" applyAlignment="1">
      <alignment horizontal="center" vertical="top" wrapText="1"/>
      <protection/>
    </xf>
    <xf numFmtId="4" fontId="3" fillId="0" borderId="11" xfId="57" applyNumberFormat="1" applyFont="1" applyBorder="1" applyAlignment="1">
      <alignment vertical="top" wrapText="1"/>
      <protection/>
    </xf>
    <xf numFmtId="180" fontId="3" fillId="0" borderId="10" xfId="57" applyNumberFormat="1" applyFont="1" applyBorder="1" applyAlignment="1">
      <alignment horizontal="right" vertical="top" wrapText="1"/>
      <protection/>
    </xf>
    <xf numFmtId="49" fontId="3" fillId="0" borderId="18" xfId="57" applyNumberFormat="1" applyFont="1" applyBorder="1" applyAlignment="1">
      <alignment horizontal="center" vertical="top" wrapText="1"/>
      <protection/>
    </xf>
    <xf numFmtId="4" fontId="3" fillId="0" borderId="18" xfId="57" applyNumberFormat="1" applyFont="1" applyBorder="1" applyAlignment="1">
      <alignment horizontal="right" vertical="top" wrapText="1"/>
      <protection/>
    </xf>
    <xf numFmtId="49" fontId="3" fillId="0" borderId="13" xfId="57" applyNumberFormat="1" applyFont="1" applyBorder="1" applyAlignment="1">
      <alignment horizontal="left" vertical="top" wrapText="1"/>
      <protection/>
    </xf>
    <xf numFmtId="4" fontId="3" fillId="0" borderId="12" xfId="57" applyNumberFormat="1" applyFont="1" applyBorder="1" applyAlignment="1">
      <alignment horizontal="right" vertical="top" wrapText="1"/>
      <protection/>
    </xf>
    <xf numFmtId="4" fontId="3" fillId="0" borderId="10" xfId="0" applyNumberFormat="1" applyFont="1" applyBorder="1" applyAlignment="1">
      <alignment/>
    </xf>
    <xf numFmtId="49" fontId="3" fillId="0" borderId="10" xfId="57" applyNumberFormat="1" applyFont="1" applyBorder="1" applyAlignment="1">
      <alignment horizontal="center" vertical="top" wrapText="1"/>
      <protection/>
    </xf>
    <xf numFmtId="9" fontId="3" fillId="0" borderId="10" xfId="57" applyNumberFormat="1" applyFont="1" applyBorder="1" applyAlignment="1">
      <alignment horizontal="left" wrapText="1"/>
      <protection/>
    </xf>
    <xf numFmtId="0" fontId="3" fillId="0" borderId="11" xfId="57" applyNumberFormat="1" applyFont="1" applyBorder="1" applyAlignment="1">
      <alignment horizontal="left" vertical="top" wrapText="1" indent="1"/>
      <protection/>
    </xf>
    <xf numFmtId="4" fontId="3" fillId="0" borderId="18" xfId="0" applyNumberFormat="1" applyFont="1" applyBorder="1" applyAlignment="1">
      <alignment/>
    </xf>
    <xf numFmtId="0" fontId="53" fillId="0" borderId="0" xfId="66" applyFont="1" applyAlignment="1">
      <alignment/>
      <protection/>
    </xf>
    <xf numFmtId="0" fontId="53" fillId="0" borderId="0" xfId="66" applyFont="1">
      <alignment/>
      <protection/>
    </xf>
    <xf numFmtId="0" fontId="53" fillId="0" borderId="0" xfId="66" applyFont="1" applyFill="1" applyAlignment="1">
      <alignment/>
      <protection/>
    </xf>
    <xf numFmtId="0" fontId="3" fillId="0" borderId="11" xfId="57" applyFont="1" applyBorder="1" applyAlignment="1">
      <alignment wrapText="1"/>
      <protection/>
    </xf>
    <xf numFmtId="0" fontId="7" fillId="33" borderId="19" xfId="54" applyFont="1" applyFill="1" applyBorder="1" applyAlignment="1">
      <alignment horizontal="left" vertical="center"/>
      <protection/>
    </xf>
    <xf numFmtId="4" fontId="4" fillId="0" borderId="15" xfId="58" applyNumberFormat="1" applyFont="1" applyBorder="1" applyAlignment="1">
      <alignment horizontal="center"/>
      <protection/>
    </xf>
    <xf numFmtId="0" fontId="4" fillId="0" borderId="15" xfId="58" applyFont="1" applyBorder="1">
      <alignment/>
      <protection/>
    </xf>
    <xf numFmtId="0" fontId="4" fillId="0" borderId="11" xfId="58" applyFont="1" applyBorder="1">
      <alignment/>
      <protection/>
    </xf>
    <xf numFmtId="0" fontId="3" fillId="0" borderId="30" xfId="58" applyFont="1" applyBorder="1">
      <alignment/>
      <protection/>
    </xf>
    <xf numFmtId="4" fontId="3" fillId="0" borderId="10" xfId="58" applyNumberFormat="1" applyFont="1" applyBorder="1" applyAlignment="1">
      <alignment horizontal="center" vertical="center"/>
      <protection/>
    </xf>
    <xf numFmtId="2" fontId="4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4" fontId="3" fillId="0" borderId="15" xfId="58" applyNumberFormat="1" applyFont="1" applyBorder="1" applyAlignment="1">
      <alignment horizontal="center"/>
      <protection/>
    </xf>
    <xf numFmtId="0" fontId="3" fillId="0" borderId="15" xfId="58" applyFont="1" applyBorder="1">
      <alignment/>
      <protection/>
    </xf>
    <xf numFmtId="0" fontId="3" fillId="0" borderId="11" xfId="58" applyFont="1" applyBorder="1">
      <alignment/>
      <protection/>
    </xf>
    <xf numFmtId="198" fontId="3" fillId="0" borderId="11" xfId="57" applyNumberFormat="1" applyFont="1" applyBorder="1" applyAlignment="1">
      <alignment vertical="top"/>
      <protection/>
    </xf>
    <xf numFmtId="198" fontId="3" fillId="0" borderId="30" xfId="57" applyNumberFormat="1" applyFont="1" applyBorder="1" applyAlignment="1">
      <alignment vertical="top"/>
      <protection/>
    </xf>
    <xf numFmtId="2" fontId="3" fillId="0" borderId="10" xfId="57" applyNumberFormat="1" applyFont="1" applyBorder="1" applyAlignment="1">
      <alignment vertical="top"/>
      <protection/>
    </xf>
    <xf numFmtId="49" fontId="3" fillId="0" borderId="15" xfId="57" applyNumberFormat="1" applyFont="1" applyFill="1" applyBorder="1" applyAlignment="1">
      <alignment horizontal="left" vertical="top" wrapText="1"/>
      <protection/>
    </xf>
    <xf numFmtId="49" fontId="3" fillId="0" borderId="30" xfId="57" applyNumberFormat="1" applyFont="1" applyFill="1" applyBorder="1" applyAlignment="1">
      <alignment horizontal="left" vertical="top" wrapText="1"/>
      <protection/>
    </xf>
    <xf numFmtId="0" fontId="3" fillId="0" borderId="10" xfId="58" applyFont="1" applyBorder="1">
      <alignment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3" fillId="0" borderId="29" xfId="58" applyFont="1" applyFill="1" applyBorder="1" applyAlignment="1">
      <alignment horizontal="left" vertical="top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right" vertical="center"/>
      <protection/>
    </xf>
    <xf numFmtId="0" fontId="9" fillId="0" borderId="11" xfId="58" applyFont="1" applyBorder="1" applyAlignment="1">
      <alignment vertical="center" wrapText="1"/>
      <protection/>
    </xf>
    <xf numFmtId="0" fontId="10" fillId="0" borderId="11" xfId="58" applyFont="1" applyBorder="1" applyAlignment="1">
      <alignment vertical="center" wrapText="1"/>
      <protection/>
    </xf>
    <xf numFmtId="0" fontId="3" fillId="0" borderId="30" xfId="58" applyFont="1" applyBorder="1" applyAlignment="1">
      <alignment horizontal="center" vertical="center"/>
      <protection/>
    </xf>
    <xf numFmtId="183" fontId="3" fillId="0" borderId="17" xfId="58" applyNumberFormat="1" applyFont="1" applyBorder="1" applyAlignment="1">
      <alignment horizontal="center" vertical="center"/>
      <protection/>
    </xf>
    <xf numFmtId="0" fontId="3" fillId="0" borderId="31" xfId="58" applyFont="1" applyBorder="1" applyAlignment="1">
      <alignment horizontal="center" vertical="center"/>
      <protection/>
    </xf>
    <xf numFmtId="0" fontId="3" fillId="0" borderId="31" xfId="58" applyFont="1" applyBorder="1" applyAlignment="1">
      <alignment vertical="center" wrapText="1"/>
      <protection/>
    </xf>
    <xf numFmtId="9" fontId="3" fillId="0" borderId="15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29" xfId="58" applyFont="1" applyBorder="1" applyAlignment="1">
      <alignment horizontal="center" vertical="center"/>
      <protection/>
    </xf>
    <xf numFmtId="183" fontId="3" fillId="0" borderId="15" xfId="58" applyNumberFormat="1" applyFont="1" applyBorder="1" applyAlignment="1">
      <alignment horizontal="center" vertical="center"/>
      <protection/>
    </xf>
    <xf numFmtId="183" fontId="3" fillId="0" borderId="11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3" fillId="0" borderId="10" xfId="58" applyNumberFormat="1" applyFont="1" applyBorder="1" applyAlignment="1">
      <alignment vertical="center" wrapText="1"/>
      <protection/>
    </xf>
    <xf numFmtId="4" fontId="3" fillId="0" borderId="18" xfId="58" applyNumberFormat="1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0" fontId="3" fillId="0" borderId="16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vertical="center" wrapText="1"/>
      <protection/>
    </xf>
    <xf numFmtId="0" fontId="3" fillId="0" borderId="16" xfId="58" applyFont="1" applyBorder="1" applyAlignment="1">
      <alignment vertical="center" wrapText="1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 wrapText="1"/>
      <protection/>
    </xf>
    <xf numFmtId="0" fontId="4" fillId="0" borderId="0" xfId="58" applyFont="1" applyBorder="1" applyAlignment="1">
      <alignment vertical="center" wrapText="1"/>
      <protection/>
    </xf>
    <xf numFmtId="0" fontId="3" fillId="0" borderId="13" xfId="58" applyFont="1" applyBorder="1" applyAlignment="1">
      <alignment horizontal="center" vertical="center"/>
      <protection/>
    </xf>
    <xf numFmtId="4" fontId="3" fillId="0" borderId="14" xfId="58" applyNumberFormat="1" applyFont="1" applyBorder="1" applyAlignment="1">
      <alignment horizontal="center" vertical="center"/>
      <protection/>
    </xf>
    <xf numFmtId="0" fontId="9" fillId="0" borderId="17" xfId="58" applyFont="1" applyBorder="1" applyAlignment="1">
      <alignment vertical="center" wrapText="1"/>
      <protection/>
    </xf>
    <xf numFmtId="0" fontId="3" fillId="0" borderId="17" xfId="58" applyFont="1" applyBorder="1" applyAlignment="1">
      <alignment vertical="center" wrapText="1"/>
      <protection/>
    </xf>
    <xf numFmtId="4" fontId="3" fillId="0" borderId="12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8" xfId="58" applyFont="1" applyBorder="1" applyAlignment="1">
      <alignment vertical="top" wrapText="1"/>
      <protection/>
    </xf>
    <xf numFmtId="2" fontId="3" fillId="0" borderId="0" xfId="58" applyNumberFormat="1" applyFont="1">
      <alignment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Border="1">
      <alignment/>
      <protection/>
    </xf>
    <xf numFmtId="0" fontId="3" fillId="0" borderId="13" xfId="58" applyFont="1" applyBorder="1">
      <alignment/>
      <protection/>
    </xf>
    <xf numFmtId="0" fontId="3" fillId="0" borderId="0" xfId="58" applyFont="1">
      <alignment/>
      <protection/>
    </xf>
    <xf numFmtId="4" fontId="3" fillId="0" borderId="12" xfId="58" applyNumberFormat="1" applyFont="1" applyFill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wrapText="1"/>
      <protection/>
    </xf>
    <xf numFmtId="0" fontId="4" fillId="0" borderId="27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left" vertical="top" wrapText="1"/>
      <protection/>
    </xf>
    <xf numFmtId="0" fontId="3" fillId="0" borderId="13" xfId="58" applyFont="1" applyBorder="1" applyAlignment="1">
      <alignment horizontal="center" wrapText="1"/>
      <protection/>
    </xf>
    <xf numFmtId="0" fontId="3" fillId="0" borderId="27" xfId="58" applyFont="1" applyBorder="1">
      <alignment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wrapText="1"/>
      <protection/>
    </xf>
    <xf numFmtId="0" fontId="3" fillId="0" borderId="32" xfId="58" applyFont="1" applyBorder="1">
      <alignment/>
      <protection/>
    </xf>
    <xf numFmtId="0" fontId="3" fillId="0" borderId="14" xfId="58" applyFont="1" applyBorder="1" applyAlignment="1">
      <alignment horizontal="center" wrapText="1"/>
      <protection/>
    </xf>
    <xf numFmtId="0" fontId="3" fillId="0" borderId="31" xfId="58" applyFont="1" applyBorder="1" applyAlignment="1">
      <alignment horizont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4" fillId="0" borderId="0" xfId="58" applyFont="1" applyAlignment="1">
      <alignment horizontal="center" wrapText="1"/>
      <protection/>
    </xf>
    <xf numFmtId="14" fontId="3" fillId="0" borderId="0" xfId="58" applyNumberFormat="1" applyFont="1" applyAlignment="1">
      <alignment horizontal="right"/>
      <protection/>
    </xf>
    <xf numFmtId="0" fontId="7" fillId="0" borderId="0" xfId="67" applyFont="1" applyAlignment="1" applyProtection="1">
      <alignment vertical="top" wrapText="1"/>
      <protection locked="0"/>
    </xf>
    <xf numFmtId="0" fontId="3" fillId="0" borderId="0" xfId="58" applyFont="1" applyAlignment="1">
      <alignment horizontal="center" vertical="center"/>
      <protection/>
    </xf>
    <xf numFmtId="0" fontId="7" fillId="0" borderId="0" xfId="67" applyFont="1" applyAlignment="1" applyProtection="1">
      <alignment horizontal="left" vertical="top" wrapText="1"/>
      <protection locked="0"/>
    </xf>
    <xf numFmtId="0" fontId="7" fillId="0" borderId="0" xfId="67" applyFont="1" applyAlignment="1" applyProtection="1">
      <alignment wrapText="1"/>
      <protection locked="0"/>
    </xf>
    <xf numFmtId="0" fontId="7" fillId="0" borderId="0" xfId="67" applyFont="1" applyAlignment="1" applyProtection="1">
      <alignment horizontal="left" wrapText="1"/>
      <protection locked="0"/>
    </xf>
    <xf numFmtId="217" fontId="7" fillId="0" borderId="0" xfId="67" applyNumberFormat="1" applyFont="1" applyAlignment="1" applyProtection="1">
      <alignment vertical="top" wrapText="1"/>
      <protection locked="0"/>
    </xf>
    <xf numFmtId="0" fontId="3" fillId="0" borderId="0" xfId="67" applyFont="1" applyAlignment="1">
      <alignment/>
      <protection/>
    </xf>
    <xf numFmtId="0" fontId="3" fillId="0" borderId="0" xfId="58" applyFont="1" applyAlignment="1">
      <alignment/>
      <protection/>
    </xf>
    <xf numFmtId="4" fontId="54" fillId="0" borderId="10" xfId="58" applyNumberFormat="1" applyFont="1" applyBorder="1" applyAlignment="1">
      <alignment horizontal="center" wrapText="1"/>
      <protection/>
    </xf>
    <xf numFmtId="4" fontId="53" fillId="0" borderId="15" xfId="58" applyNumberFormat="1" applyFont="1" applyBorder="1" applyAlignment="1">
      <alignment horizontal="center" wrapText="1"/>
      <protection/>
    </xf>
    <xf numFmtId="0" fontId="54" fillId="0" borderId="28" xfId="58" applyFont="1" applyBorder="1" applyAlignment="1">
      <alignment horizontal="left" vertical="center" wrapText="1"/>
      <protection/>
    </xf>
    <xf numFmtId="0" fontId="54" fillId="0" borderId="16" xfId="58" applyFont="1" applyBorder="1" applyAlignment="1">
      <alignment horizontal="left" vertical="center" wrapText="1"/>
      <protection/>
    </xf>
    <xf numFmtId="0" fontId="54" fillId="0" borderId="29" xfId="58" applyFont="1" applyBorder="1" applyAlignment="1">
      <alignment horizontal="left" vertical="center" wrapText="1"/>
      <protection/>
    </xf>
    <xf numFmtId="0" fontId="53" fillId="0" borderId="10" xfId="58" applyFont="1" applyBorder="1" applyAlignment="1">
      <alignment horizontal="center" wrapText="1"/>
      <protection/>
    </xf>
    <xf numFmtId="4" fontId="53" fillId="0" borderId="10" xfId="58" applyNumberFormat="1" applyFont="1" applyBorder="1" applyAlignment="1">
      <alignment horizontal="center" wrapText="1"/>
      <protection/>
    </xf>
    <xf numFmtId="0" fontId="53" fillId="0" borderId="27" xfId="58" applyFont="1" applyBorder="1" applyAlignment="1">
      <alignment horizontal="center" vertical="center" wrapText="1"/>
      <protection/>
    </xf>
    <xf numFmtId="0" fontId="53" fillId="0" borderId="0" xfId="58" applyFont="1" applyBorder="1" applyAlignment="1">
      <alignment horizontal="center" vertical="center" wrapText="1"/>
      <protection/>
    </xf>
    <xf numFmtId="0" fontId="53" fillId="0" borderId="13" xfId="58" applyFont="1" applyBorder="1" applyAlignment="1">
      <alignment horizontal="center" vertical="center" wrapText="1"/>
      <protection/>
    </xf>
    <xf numFmtId="0" fontId="53" fillId="0" borderId="30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left" vertical="center" wrapText="1"/>
      <protection/>
    </xf>
    <xf numFmtId="4" fontId="53" fillId="0" borderId="18" xfId="58" applyNumberFormat="1" applyFont="1" applyBorder="1" applyAlignment="1">
      <alignment horizontal="center" wrapText="1"/>
      <protection/>
    </xf>
    <xf numFmtId="4" fontId="53" fillId="0" borderId="28" xfId="58" applyNumberFormat="1" applyFont="1" applyBorder="1" applyAlignment="1">
      <alignment horizontal="center" wrapText="1"/>
      <protection/>
    </xf>
    <xf numFmtId="0" fontId="53" fillId="0" borderId="29" xfId="58" applyFont="1" applyBorder="1" applyAlignment="1">
      <alignment horizontal="center" vertical="center" wrapText="1"/>
      <protection/>
    </xf>
    <xf numFmtId="0" fontId="53" fillId="0" borderId="18" xfId="57" applyFont="1" applyBorder="1" applyAlignment="1">
      <alignment horizontal="left" vertical="top" wrapText="1"/>
      <protection/>
    </xf>
    <xf numFmtId="4" fontId="54" fillId="0" borderId="15" xfId="58" applyNumberFormat="1" applyFont="1" applyBorder="1" applyAlignment="1">
      <alignment horizontal="center" wrapText="1"/>
      <protection/>
    </xf>
    <xf numFmtId="0" fontId="54" fillId="0" borderId="32" xfId="58" applyFont="1" applyBorder="1" applyAlignment="1">
      <alignment horizontal="left" vertical="center" wrapText="1"/>
      <protection/>
    </xf>
    <xf numFmtId="0" fontId="54" fillId="0" borderId="17" xfId="58" applyFont="1" applyBorder="1" applyAlignment="1">
      <alignment horizontal="left" vertical="center" wrapText="1"/>
      <protection/>
    </xf>
    <xf numFmtId="0" fontId="54" fillId="0" borderId="31" xfId="58" applyFont="1" applyBorder="1" applyAlignment="1">
      <alignment horizontal="left" vertical="center" wrapText="1"/>
      <protection/>
    </xf>
    <xf numFmtId="2" fontId="53" fillId="0" borderId="10" xfId="58" applyNumberFormat="1" applyFont="1" applyBorder="1" applyAlignment="1">
      <alignment horizontal="center" wrapText="1"/>
      <protection/>
    </xf>
    <xf numFmtId="2" fontId="53" fillId="0" borderId="15" xfId="58" applyNumberFormat="1" applyFont="1" applyBorder="1" applyAlignment="1">
      <alignment horizontal="center" wrapText="1"/>
      <protection/>
    </xf>
    <xf numFmtId="0" fontId="53" fillId="0" borderId="15" xfId="58" applyFont="1" applyBorder="1" applyAlignment="1">
      <alignment horizontal="center" vertical="center" wrapText="1"/>
      <protection/>
    </xf>
    <xf numFmtId="0" fontId="53" fillId="0" borderId="11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30" xfId="58" applyFont="1" applyBorder="1" applyAlignment="1">
      <alignment horizontal="center" vertical="center" wrapText="1"/>
      <protection/>
    </xf>
    <xf numFmtId="2" fontId="54" fillId="0" borderId="10" xfId="58" applyNumberFormat="1" applyFont="1" applyBorder="1" applyAlignment="1">
      <alignment horizontal="center" wrapText="1"/>
      <protection/>
    </xf>
    <xf numFmtId="0" fontId="54" fillId="0" borderId="10" xfId="58" applyFont="1" applyBorder="1" applyAlignment="1">
      <alignment horizontal="center" wrapText="1"/>
      <protection/>
    </xf>
    <xf numFmtId="0" fontId="54" fillId="0" borderId="11" xfId="58" applyFont="1" applyBorder="1" applyAlignment="1">
      <alignment horizontal="left" vertical="center" wrapText="1"/>
      <protection/>
    </xf>
    <xf numFmtId="2" fontId="53" fillId="0" borderId="15" xfId="58" applyNumberFormat="1" applyFont="1" applyBorder="1" applyAlignment="1">
      <alignment horizontal="center"/>
      <protection/>
    </xf>
    <xf numFmtId="0" fontId="53" fillId="0" borderId="28" xfId="58" applyFont="1" applyFill="1" applyBorder="1" applyAlignment="1">
      <alignment horizontal="center" vertical="center"/>
      <protection/>
    </xf>
    <xf numFmtId="0" fontId="53" fillId="0" borderId="16" xfId="58" applyFont="1" applyFill="1" applyBorder="1" applyAlignment="1">
      <alignment horizontal="center" vertical="center"/>
      <protection/>
    </xf>
    <xf numFmtId="0" fontId="53" fillId="0" borderId="30" xfId="58" applyFont="1" applyFill="1" applyBorder="1" applyAlignment="1">
      <alignment horizontal="center" vertical="center"/>
      <protection/>
    </xf>
    <xf numFmtId="0" fontId="53" fillId="0" borderId="10" xfId="58" applyFont="1" applyBorder="1" applyAlignment="1">
      <alignment horizontal="center" vertical="center"/>
      <protection/>
    </xf>
    <xf numFmtId="0" fontId="53" fillId="0" borderId="15" xfId="58" applyFont="1" applyBorder="1" applyAlignment="1">
      <alignment horizontal="center"/>
      <protection/>
    </xf>
    <xf numFmtId="0" fontId="53" fillId="0" borderId="15" xfId="58" applyFont="1" applyBorder="1" applyAlignment="1">
      <alignment horizontal="center" vertical="center"/>
      <protection/>
    </xf>
    <xf numFmtId="0" fontId="53" fillId="0" borderId="11" xfId="58" applyFont="1" applyBorder="1" applyAlignment="1">
      <alignment horizontal="center" vertical="center"/>
      <protection/>
    </xf>
    <xf numFmtId="0" fontId="53" fillId="0" borderId="30" xfId="58" applyFont="1" applyBorder="1" applyAlignment="1">
      <alignment horizontal="center" vertical="center"/>
      <protection/>
    </xf>
    <xf numFmtId="0" fontId="3" fillId="34" borderId="15" xfId="58" applyFont="1" applyFill="1" applyBorder="1" applyAlignment="1">
      <alignment horizontal="center" wrapText="1"/>
      <protection/>
    </xf>
    <xf numFmtId="0" fontId="3" fillId="34" borderId="32" xfId="58" applyFont="1" applyFill="1" applyBorder="1" applyAlignment="1">
      <alignment horizontal="center" vertical="center" wrapText="1"/>
      <protection/>
    </xf>
    <xf numFmtId="0" fontId="3" fillId="34" borderId="17" xfId="58" applyFont="1" applyFill="1" applyBorder="1" applyAlignment="1">
      <alignment horizontal="center" vertical="center" wrapText="1"/>
      <protection/>
    </xf>
    <xf numFmtId="0" fontId="3" fillId="34" borderId="31" xfId="58" applyFont="1" applyFill="1" applyBorder="1" applyAlignment="1">
      <alignment horizontal="center" vertical="center" wrapText="1"/>
      <protection/>
    </xf>
    <xf numFmtId="0" fontId="3" fillId="34" borderId="30" xfId="58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wrapText="1"/>
      <protection/>
    </xf>
    <xf numFmtId="2" fontId="54" fillId="0" borderId="15" xfId="58" applyNumberFormat="1" applyFont="1" applyBorder="1" applyAlignment="1">
      <alignment horizontal="center" wrapText="1"/>
      <protection/>
    </xf>
    <xf numFmtId="0" fontId="53" fillId="0" borderId="15" xfId="58" applyFont="1" applyBorder="1" applyAlignment="1">
      <alignment horizontal="center" wrapText="1"/>
      <protection/>
    </xf>
    <xf numFmtId="0" fontId="53" fillId="0" borderId="28" xfId="58" applyFont="1" applyBorder="1" applyAlignment="1">
      <alignment horizontal="center" vertical="top" wrapText="1"/>
      <protection/>
    </xf>
    <xf numFmtId="0" fontId="53" fillId="0" borderId="16" xfId="58" applyFont="1" applyBorder="1" applyAlignment="1">
      <alignment horizontal="center" vertical="top" wrapText="1"/>
      <protection/>
    </xf>
    <xf numFmtId="0" fontId="53" fillId="0" borderId="29" xfId="58" applyFont="1" applyBorder="1" applyAlignment="1">
      <alignment horizontal="center" vertical="top" wrapText="1"/>
      <protection/>
    </xf>
    <xf numFmtId="0" fontId="53" fillId="0" borderId="30" xfId="58" applyFont="1" applyBorder="1" applyAlignment="1">
      <alignment horizontal="center" vertical="top" wrapText="1"/>
      <protection/>
    </xf>
    <xf numFmtId="0" fontId="53" fillId="0" borderId="10" xfId="58" applyFont="1" applyBorder="1" applyAlignment="1">
      <alignment vertical="top" wrapText="1"/>
      <protection/>
    </xf>
    <xf numFmtId="0" fontId="53" fillId="0" borderId="10" xfId="58" applyFont="1" applyBorder="1" applyAlignment="1">
      <alignment horizontal="left" vertical="center" wrapText="1" shrinkToFit="1"/>
      <protection/>
    </xf>
    <xf numFmtId="0" fontId="53" fillId="0" borderId="32" xfId="58" applyFont="1" applyBorder="1" applyAlignment="1">
      <alignment horizontal="center" vertical="center" wrapText="1"/>
      <protection/>
    </xf>
    <xf numFmtId="0" fontId="53" fillId="0" borderId="17" xfId="58" applyFont="1" applyBorder="1" applyAlignment="1">
      <alignment horizontal="center" vertical="center" wrapText="1"/>
      <protection/>
    </xf>
    <xf numFmtId="0" fontId="53" fillId="0" borderId="31" xfId="58" applyFont="1" applyBorder="1" applyAlignment="1">
      <alignment horizontal="center" vertical="center" wrapText="1"/>
      <protection/>
    </xf>
    <xf numFmtId="2" fontId="54" fillId="0" borderId="10" xfId="58" applyNumberFormat="1" applyFont="1" applyFill="1" applyBorder="1" applyAlignment="1">
      <alignment horizontal="center" vertical="center" wrapText="1"/>
      <protection/>
    </xf>
    <xf numFmtId="2" fontId="54" fillId="0" borderId="15" xfId="58" applyNumberFormat="1" applyFont="1" applyFill="1" applyBorder="1" applyAlignment="1">
      <alignment horizontal="center" vertical="center" wrapText="1"/>
      <protection/>
    </xf>
    <xf numFmtId="0" fontId="54" fillId="0" borderId="15" xfId="58" applyFont="1" applyFill="1" applyBorder="1" applyAlignment="1">
      <alignment horizontal="left" vertical="center" wrapText="1"/>
      <protection/>
    </xf>
    <xf numFmtId="0" fontId="54" fillId="0" borderId="11" xfId="58" applyFont="1" applyFill="1" applyBorder="1" applyAlignment="1">
      <alignment horizontal="left" vertical="center" wrapText="1"/>
      <protection/>
    </xf>
    <xf numFmtId="0" fontId="54" fillId="0" borderId="30" xfId="58" applyFont="1" applyFill="1" applyBorder="1" applyAlignment="1">
      <alignment horizontal="left" vertical="center" wrapText="1"/>
      <protection/>
    </xf>
    <xf numFmtId="2" fontId="53" fillId="0" borderId="15" xfId="58" applyNumberFormat="1" applyFont="1" applyFill="1" applyBorder="1" applyAlignment="1">
      <alignment horizontal="center" vertical="center" wrapText="1"/>
      <protection/>
    </xf>
    <xf numFmtId="0" fontId="53" fillId="0" borderId="27" xfId="58" applyFont="1" applyFill="1" applyBorder="1" applyAlignment="1">
      <alignment horizontal="center" vertical="center" wrapText="1"/>
      <protection/>
    </xf>
    <xf numFmtId="0" fontId="53" fillId="0" borderId="0" xfId="58" applyFont="1" applyFill="1" applyBorder="1" applyAlignment="1">
      <alignment horizontal="center" vertical="center" wrapText="1"/>
      <protection/>
    </xf>
    <xf numFmtId="0" fontId="53" fillId="0" borderId="30" xfId="58" applyFont="1" applyFill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53" fillId="0" borderId="18" xfId="58" applyFont="1" applyBorder="1" applyAlignment="1">
      <alignment horizontal="center" vertical="center" wrapText="1"/>
      <protection/>
    </xf>
    <xf numFmtId="2" fontId="53" fillId="0" borderId="28" xfId="58" applyNumberFormat="1" applyFont="1" applyFill="1" applyBorder="1" applyAlignment="1">
      <alignment horizontal="center" vertical="center" wrapText="1"/>
      <protection/>
    </xf>
    <xf numFmtId="0" fontId="53" fillId="0" borderId="15" xfId="58" applyFont="1" applyFill="1" applyBorder="1" applyAlignment="1">
      <alignment horizontal="center" vertical="center" wrapText="1"/>
      <protection/>
    </xf>
    <xf numFmtId="0" fontId="53" fillId="0" borderId="11" xfId="58" applyFont="1" applyFill="1" applyBorder="1" applyAlignment="1">
      <alignment horizontal="center" vertical="center" wrapText="1"/>
      <protection/>
    </xf>
    <xf numFmtId="0" fontId="53" fillId="0" borderId="29" xfId="58" applyFont="1" applyFill="1" applyBorder="1" applyAlignment="1">
      <alignment horizontal="center" vertical="center" wrapText="1"/>
      <protection/>
    </xf>
    <xf numFmtId="0" fontId="53" fillId="0" borderId="18" xfId="58" applyFont="1" applyFill="1" applyBorder="1" applyAlignment="1">
      <alignment horizontal="left" vertical="center" wrapText="1"/>
      <protection/>
    </xf>
    <xf numFmtId="2" fontId="54" fillId="0" borderId="10" xfId="58" applyNumberFormat="1" applyFont="1" applyBorder="1" applyAlignment="1">
      <alignment horizontal="center" vertical="center" wrapText="1"/>
      <protection/>
    </xf>
    <xf numFmtId="2" fontId="54" fillId="0" borderId="15" xfId="58" applyNumberFormat="1" applyFont="1" applyBorder="1" applyAlignment="1">
      <alignment horizontal="center" vertical="center" wrapText="1"/>
      <protection/>
    </xf>
    <xf numFmtId="0" fontId="54" fillId="0" borderId="15" xfId="58" applyFont="1" applyBorder="1" applyAlignment="1">
      <alignment horizontal="left" vertical="center" wrapText="1"/>
      <protection/>
    </xf>
    <xf numFmtId="0" fontId="54" fillId="0" borderId="30" xfId="58" applyFont="1" applyBorder="1" applyAlignment="1">
      <alignment horizontal="left" vertical="center" wrapText="1"/>
      <protection/>
    </xf>
    <xf numFmtId="0" fontId="53" fillId="0" borderId="18" xfId="58" applyFont="1" applyBorder="1" applyAlignment="1">
      <alignment horizontal="center" wrapText="1"/>
      <protection/>
    </xf>
    <xf numFmtId="0" fontId="53" fillId="0" borderId="28" xfId="58" applyFont="1" applyBorder="1" applyAlignment="1">
      <alignment horizontal="center" wrapText="1"/>
      <protection/>
    </xf>
    <xf numFmtId="2" fontId="53" fillId="0" borderId="18" xfId="58" applyNumberFormat="1" applyFont="1" applyBorder="1" applyAlignment="1">
      <alignment horizontal="center" vertical="center" wrapText="1"/>
      <protection/>
    </xf>
    <xf numFmtId="0" fontId="53" fillId="0" borderId="16" xfId="58" applyFont="1" applyBorder="1" applyAlignment="1">
      <alignment horizontal="center" vertical="center" wrapText="1"/>
      <protection/>
    </xf>
    <xf numFmtId="0" fontId="53" fillId="0" borderId="18" xfId="58" applyFont="1" applyBorder="1" applyAlignment="1">
      <alignment horizontal="right" vertical="center" wrapText="1"/>
      <protection/>
    </xf>
    <xf numFmtId="0" fontId="53" fillId="0" borderId="29" xfId="58" applyFont="1" applyBorder="1" applyAlignment="1">
      <alignment horizontal="center" wrapText="1"/>
      <protection/>
    </xf>
    <xf numFmtId="0" fontId="53" fillId="0" borderId="32" xfId="58" applyFont="1" applyBorder="1" applyAlignment="1">
      <alignment horizontal="center" wrapText="1"/>
      <protection/>
    </xf>
    <xf numFmtId="2" fontId="53" fillId="0" borderId="14" xfId="58" applyNumberFormat="1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horizontal="left" vertical="center" wrapText="1"/>
      <protection/>
    </xf>
    <xf numFmtId="0" fontId="53" fillId="0" borderId="31" xfId="58" applyFont="1" applyBorder="1" applyAlignment="1">
      <alignment horizontal="center" wrapText="1"/>
      <protection/>
    </xf>
    <xf numFmtId="0" fontId="53" fillId="0" borderId="14" xfId="58" applyFont="1" applyBorder="1" applyAlignment="1">
      <alignment horizontal="center" wrapText="1"/>
      <protection/>
    </xf>
    <xf numFmtId="2" fontId="53" fillId="0" borderId="32" xfId="58" applyNumberFormat="1" applyFont="1" applyBorder="1" applyAlignment="1">
      <alignment horizontal="center" vertical="center" wrapText="1"/>
      <protection/>
    </xf>
    <xf numFmtId="0" fontId="53" fillId="0" borderId="27" xfId="58" applyFont="1" applyBorder="1" applyAlignment="1">
      <alignment horizontal="center" wrapText="1"/>
      <protection/>
    </xf>
    <xf numFmtId="0" fontId="53" fillId="0" borderId="0" xfId="58" applyFont="1" applyBorder="1" applyAlignment="1">
      <alignment horizontal="center" wrapText="1"/>
      <protection/>
    </xf>
    <xf numFmtId="0" fontId="53" fillId="0" borderId="13" xfId="58" applyFont="1" applyBorder="1" applyAlignment="1">
      <alignment horizontal="center" wrapText="1"/>
      <protection/>
    </xf>
    <xf numFmtId="0" fontId="53" fillId="0" borderId="18" xfId="58" applyFont="1" applyBorder="1" applyAlignment="1">
      <alignment wrapText="1"/>
      <protection/>
    </xf>
    <xf numFmtId="0" fontId="53" fillId="0" borderId="16" xfId="58" applyFont="1" applyBorder="1" applyAlignment="1">
      <alignment horizontal="center" wrapText="1"/>
      <protection/>
    </xf>
    <xf numFmtId="0" fontId="53" fillId="0" borderId="16" xfId="58" applyFont="1" applyBorder="1" applyAlignment="1">
      <alignment wrapText="1"/>
      <protection/>
    </xf>
    <xf numFmtId="0" fontId="53" fillId="0" borderId="17" xfId="58" applyFont="1" applyBorder="1" applyAlignment="1">
      <alignment horizontal="center" wrapText="1"/>
      <protection/>
    </xf>
    <xf numFmtId="0" fontId="53" fillId="0" borderId="17" xfId="58" applyFont="1" applyBorder="1" applyAlignment="1">
      <alignment wrapText="1"/>
      <protection/>
    </xf>
    <xf numFmtId="0" fontId="53" fillId="0" borderId="14" xfId="58" applyFont="1" applyBorder="1" applyAlignment="1">
      <alignment wrapText="1"/>
      <protection/>
    </xf>
    <xf numFmtId="0" fontId="53" fillId="0" borderId="28" xfId="58" applyFont="1" applyBorder="1" applyAlignment="1">
      <alignment wrapText="1"/>
      <protection/>
    </xf>
    <xf numFmtId="0" fontId="53" fillId="0" borderId="0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right" vertical="center" wrapText="1" indent="1"/>
      <protection/>
    </xf>
    <xf numFmtId="0" fontId="53" fillId="0" borderId="27" xfId="58" applyFont="1" applyBorder="1" applyAlignment="1">
      <alignment wrapTex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53" fillId="0" borderId="32" xfId="58" applyFont="1" applyBorder="1" applyAlignment="1">
      <alignment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4" fillId="0" borderId="0" xfId="58" applyFont="1" applyBorder="1" applyAlignment="1">
      <alignment horizontal="center" vertical="center" wrapText="1"/>
      <protection/>
    </xf>
    <xf numFmtId="0" fontId="5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2" fontId="3" fillId="0" borderId="0" xfId="57" applyNumberFormat="1" applyFont="1">
      <alignment/>
      <protection/>
    </xf>
    <xf numFmtId="0" fontId="3" fillId="0" borderId="29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30" xfId="57" applyFont="1" applyBorder="1">
      <alignment/>
      <protection/>
    </xf>
    <xf numFmtId="0" fontId="3" fillId="0" borderId="0" xfId="57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left" vertical="top" wrapText="1"/>
      <protection/>
    </xf>
    <xf numFmtId="0" fontId="3" fillId="0" borderId="13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30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0" xfId="57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7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wrapText="1"/>
      <protection/>
    </xf>
    <xf numFmtId="2" fontId="3" fillId="0" borderId="17" xfId="57" applyNumberFormat="1" applyFont="1" applyBorder="1" applyAlignment="1">
      <alignment wrapText="1"/>
      <protection/>
    </xf>
    <xf numFmtId="183" fontId="3" fillId="0" borderId="31" xfId="57" applyNumberFormat="1" applyFont="1" applyBorder="1" applyAlignment="1">
      <alignment horizontal="right" wrapText="1"/>
      <protection/>
    </xf>
    <xf numFmtId="9" fontId="3" fillId="0" borderId="27" xfId="57" applyNumberFormat="1" applyFont="1" applyBorder="1" applyAlignment="1">
      <alignment horizontal="center" vertical="top" wrapText="1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0" fontId="3" fillId="0" borderId="30" xfId="57" applyFont="1" applyBorder="1" applyAlignment="1">
      <alignment horizontal="center" vertical="top" wrapText="1"/>
      <protection/>
    </xf>
    <xf numFmtId="10" fontId="3" fillId="0" borderId="15" xfId="57" applyNumberFormat="1" applyFont="1" applyBorder="1" applyAlignment="1">
      <alignment horizontal="center" vertical="top" wrapText="1"/>
      <protection/>
    </xf>
    <xf numFmtId="0" fontId="3" fillId="0" borderId="30" xfId="57" applyFont="1" applyBorder="1" applyAlignment="1">
      <alignment vertical="top" wrapText="1"/>
      <protection/>
    </xf>
    <xf numFmtId="0" fontId="3" fillId="0" borderId="10" xfId="57" applyFont="1" applyBorder="1" applyAlignment="1">
      <alignment horizontal="left" vertical="top" wrapText="1"/>
      <protection/>
    </xf>
    <xf numFmtId="2" fontId="3" fillId="0" borderId="14" xfId="57" applyNumberFormat="1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2" fontId="3" fillId="0" borderId="31" xfId="57" applyNumberFormat="1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vertical="top" wrapText="1"/>
      <protection/>
    </xf>
    <xf numFmtId="0" fontId="3" fillId="0" borderId="31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2" fontId="3" fillId="0" borderId="14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7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2" fontId="3" fillId="0" borderId="18" xfId="57" applyNumberFormat="1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right" vertical="top" wrapText="1"/>
      <protection/>
    </xf>
    <xf numFmtId="0" fontId="3" fillId="0" borderId="29" xfId="57" applyFont="1" applyBorder="1" applyAlignment="1">
      <alignment horizontal="right" vertical="top" wrapText="1"/>
      <protection/>
    </xf>
    <xf numFmtId="0" fontId="3" fillId="0" borderId="28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29" xfId="57" applyFont="1" applyBorder="1" applyAlignment="1">
      <alignment horizontal="center" vertical="top" wrapText="1"/>
      <protection/>
    </xf>
    <xf numFmtId="0" fontId="3" fillId="0" borderId="30" xfId="57" applyFont="1" applyBorder="1" applyAlignment="1">
      <alignment horizontal="right" vertical="top" wrapText="1"/>
      <protection/>
    </xf>
    <xf numFmtId="0" fontId="3" fillId="0" borderId="15" xfId="57" applyFont="1" applyBorder="1" applyAlignment="1">
      <alignment horizontal="righ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2" fontId="3" fillId="0" borderId="14" xfId="57" applyNumberFormat="1" applyFont="1" applyBorder="1" applyAlignment="1">
      <alignment horizontal="center" wrapText="1"/>
      <protection/>
    </xf>
    <xf numFmtId="0" fontId="3" fillId="0" borderId="32" xfId="57" applyFont="1" applyBorder="1" applyAlignment="1">
      <alignment horizontal="left" vertical="top" wrapText="1"/>
      <protection/>
    </xf>
    <xf numFmtId="0" fontId="3" fillId="0" borderId="16" xfId="57" applyFont="1" applyBorder="1" applyAlignment="1">
      <alignment horizontal="center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8" xfId="57" applyFont="1" applyBorder="1" applyAlignment="1">
      <alignment horizontal="center" vertical="top" wrapText="1"/>
      <protection/>
    </xf>
    <xf numFmtId="0" fontId="3" fillId="0" borderId="29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185" fontId="3" fillId="0" borderId="0" xfId="57" applyNumberFormat="1" applyFont="1" applyBorder="1" applyAlignment="1">
      <alignment horizontal="center" vertical="top" wrapText="1"/>
      <protection/>
    </xf>
    <xf numFmtId="2" fontId="3" fillId="0" borderId="27" xfId="57" applyNumberFormat="1" applyFont="1" applyBorder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1" fontId="6" fillId="0" borderId="10" xfId="57" applyNumberFormat="1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4" fillId="0" borderId="16" xfId="57" applyNumberFormat="1" applyFont="1" applyBorder="1" applyAlignment="1">
      <alignment vertical="center" wrapText="1"/>
      <protection/>
    </xf>
    <xf numFmtId="0" fontId="3" fillId="0" borderId="0" xfId="0" applyFont="1" applyAlignment="1">
      <alignment horizontal="right"/>
    </xf>
    <xf numFmtId="0" fontId="12" fillId="0" borderId="18" xfId="58" applyNumberFormat="1" applyFont="1" applyBorder="1" applyAlignment="1">
      <alignment horizontal="left" vertical="top" wrapText="1"/>
      <protection/>
    </xf>
    <xf numFmtId="0" fontId="12" fillId="0" borderId="18" xfId="57" applyNumberFormat="1" applyFont="1" applyFill="1" applyBorder="1" applyAlignment="1">
      <alignment horizontal="left" vertical="top" wrapText="1"/>
      <protection/>
    </xf>
    <xf numFmtId="0" fontId="12" fillId="0" borderId="18" xfId="57" applyNumberFormat="1" applyFont="1" applyBorder="1" applyAlignment="1">
      <alignment horizontal="left" vertical="top" wrapText="1"/>
      <protection/>
    </xf>
    <xf numFmtId="2" fontId="3" fillId="0" borderId="17" xfId="0" applyNumberFormat="1" applyFont="1" applyBorder="1" applyAlignment="1">
      <alignment/>
    </xf>
    <xf numFmtId="180" fontId="3" fillId="0" borderId="0" xfId="57" applyNumberFormat="1" applyFont="1" applyFill="1" applyBorder="1" applyAlignment="1">
      <alignment horizontal="left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4" fontId="3" fillId="0" borderId="0" xfId="54" applyNumberFormat="1" applyFont="1" applyBorder="1" applyAlignment="1">
      <alignment horizontal="center" vertical="center"/>
      <protection/>
    </xf>
    <xf numFmtId="0" fontId="3" fillId="0" borderId="0" xfId="57" applyFont="1" applyAlignment="1">
      <alignment horizontal="left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54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30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31" xfId="57" applyNumberFormat="1" applyFont="1" applyBorder="1" applyAlignment="1">
      <alignment horizontal="left" wrapText="1"/>
      <protection/>
    </xf>
    <xf numFmtId="49" fontId="3" fillId="0" borderId="32" xfId="57" applyNumberFormat="1" applyFont="1" applyBorder="1" applyAlignment="1">
      <alignment horizontal="left" wrapText="1"/>
      <protection/>
    </xf>
    <xf numFmtId="49" fontId="3" fillId="0" borderId="30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3" fillId="0" borderId="29" xfId="57" applyNumberFormat="1" applyFont="1" applyBorder="1" applyAlignment="1">
      <alignment horizontal="center" vertical="top" wrapText="1"/>
      <protection/>
    </xf>
    <xf numFmtId="0" fontId="3" fillId="0" borderId="16" xfId="57" applyNumberFormat="1" applyFont="1" applyBorder="1" applyAlignment="1">
      <alignment horizontal="center" vertical="top" wrapText="1"/>
      <protection/>
    </xf>
    <xf numFmtId="0" fontId="3" fillId="0" borderId="28" xfId="57" applyNumberFormat="1" applyFont="1" applyBorder="1" applyAlignment="1">
      <alignment horizontal="center" vertical="top" wrapText="1"/>
      <protection/>
    </xf>
    <xf numFmtId="0" fontId="3" fillId="0" borderId="13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center" vertical="top" wrapText="1"/>
      <protection/>
    </xf>
    <xf numFmtId="0" fontId="3" fillId="0" borderId="27" xfId="57" applyNumberFormat="1" applyFont="1" applyBorder="1" applyAlignment="1">
      <alignment horizontal="center" vertical="top" wrapText="1"/>
      <protection/>
    </xf>
    <xf numFmtId="0" fontId="3" fillId="0" borderId="0" xfId="57" applyNumberFormat="1" applyFont="1" applyBorder="1" applyAlignment="1">
      <alignment horizontal="left" vertical="top" wrapText="1"/>
      <protection/>
    </xf>
    <xf numFmtId="0" fontId="3" fillId="0" borderId="30" xfId="57" applyNumberFormat="1" applyFont="1" applyBorder="1" applyAlignment="1">
      <alignment horizontal="center" vertical="top" wrapText="1"/>
      <protection/>
    </xf>
    <xf numFmtId="0" fontId="3" fillId="0" borderId="11" xfId="57" applyNumberFormat="1" applyFont="1" applyBorder="1" applyAlignment="1">
      <alignment horizontal="center" vertical="top" wrapText="1"/>
      <protection/>
    </xf>
    <xf numFmtId="0" fontId="3" fillId="0" borderId="15" xfId="57" applyNumberFormat="1" applyFont="1" applyBorder="1" applyAlignment="1">
      <alignment horizontal="center" vertical="top" wrapText="1"/>
      <protection/>
    </xf>
    <xf numFmtId="4" fontId="3" fillId="0" borderId="11" xfId="57" applyNumberFormat="1" applyFont="1" applyBorder="1" applyAlignment="1">
      <alignment horizontal="center" vertical="top" wrapText="1"/>
      <protection/>
    </xf>
    <xf numFmtId="0" fontId="12" fillId="0" borderId="30" xfId="58" applyNumberFormat="1" applyFont="1" applyBorder="1" applyAlignment="1">
      <alignment horizontal="center" vertical="top" wrapText="1"/>
      <protection/>
    </xf>
    <xf numFmtId="0" fontId="12" fillId="0" borderId="15" xfId="58" applyNumberFormat="1" applyFont="1" applyBorder="1" applyAlignment="1">
      <alignment horizontal="center" vertical="top" wrapText="1"/>
      <protection/>
    </xf>
    <xf numFmtId="49" fontId="3" fillId="0" borderId="30" xfId="57" applyNumberFormat="1" applyFont="1" applyBorder="1" applyAlignment="1">
      <alignment horizontal="center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0" fontId="3" fillId="0" borderId="30" xfId="57" applyNumberFormat="1" applyFont="1" applyBorder="1" applyAlignment="1">
      <alignment horizontal="left" vertical="top" wrapText="1"/>
      <protection/>
    </xf>
    <xf numFmtId="0" fontId="3" fillId="0" borderId="15" xfId="57" applyNumberFormat="1" applyFont="1" applyBorder="1" applyAlignment="1">
      <alignment horizontal="left" vertical="top" wrapText="1"/>
      <protection/>
    </xf>
    <xf numFmtId="2" fontId="3" fillId="0" borderId="0" xfId="57" applyNumberFormat="1" applyFont="1" applyBorder="1" applyAlignment="1">
      <alignment horizontal="center" wrapText="1"/>
      <protection/>
    </xf>
    <xf numFmtId="215" fontId="3" fillId="0" borderId="0" xfId="0" applyNumberFormat="1" applyFont="1" applyAlignment="1">
      <alignment horizontal="center"/>
    </xf>
    <xf numFmtId="49" fontId="12" fillId="0" borderId="30" xfId="57" applyNumberFormat="1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12" fillId="0" borderId="30" xfId="57" applyNumberFormat="1" applyFont="1" applyBorder="1" applyAlignment="1">
      <alignment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57" applyFont="1" applyBorder="1" applyAlignment="1">
      <alignment horizontal="center" vertical="center"/>
      <protection/>
    </xf>
    <xf numFmtId="49" fontId="3" fillId="0" borderId="30" xfId="57" applyNumberFormat="1" applyFont="1" applyBorder="1" applyAlignment="1">
      <alignment horizontal="left" wrapText="1"/>
      <protection/>
    </xf>
    <xf numFmtId="49" fontId="3" fillId="0" borderId="15" xfId="57" applyNumberFormat="1" applyFont="1" applyBorder="1" applyAlignment="1">
      <alignment horizontal="left" wrapText="1"/>
      <protection/>
    </xf>
    <xf numFmtId="4" fontId="3" fillId="0" borderId="31" xfId="57" applyNumberFormat="1" applyFont="1" applyBorder="1" applyAlignment="1">
      <alignment horizontal="center" wrapText="1"/>
      <protection/>
    </xf>
    <xf numFmtId="4" fontId="3" fillId="0" borderId="17" xfId="57" applyNumberFormat="1" applyFont="1" applyBorder="1" applyAlignment="1">
      <alignment horizontal="center" wrapText="1"/>
      <protection/>
    </xf>
    <xf numFmtId="49" fontId="3" fillId="0" borderId="15" xfId="57" applyNumberFormat="1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5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3" fillId="0" borderId="30" xfId="58" applyFont="1" applyBorder="1" applyAlignment="1">
      <alignment horizontal="left" vertical="top" wrapText="1"/>
      <protection/>
    </xf>
    <xf numFmtId="0" fontId="3" fillId="0" borderId="15" xfId="58" applyFont="1" applyBorder="1" applyAlignment="1">
      <alignment horizontal="left" vertical="top" wrapText="1"/>
      <protection/>
    </xf>
    <xf numFmtId="2" fontId="3" fillId="0" borderId="30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8" xfId="58" applyFont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wrapText="1"/>
      <protection/>
    </xf>
    <xf numFmtId="0" fontId="3" fillId="0" borderId="17" xfId="58" applyFont="1" applyBorder="1" applyAlignment="1">
      <alignment horizontal="center" wrapText="1"/>
      <protection/>
    </xf>
    <xf numFmtId="0" fontId="4" fillId="0" borderId="30" xfId="58" applyFont="1" applyBorder="1" applyAlignment="1">
      <alignment horizontal="center" wrapText="1"/>
      <protection/>
    </xf>
    <xf numFmtId="0" fontId="4" fillId="0" borderId="11" xfId="58" applyFont="1" applyBorder="1" applyAlignment="1">
      <alignment horizontal="center" wrapText="1"/>
      <protection/>
    </xf>
    <xf numFmtId="0" fontId="4" fillId="0" borderId="15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3" xfId="58" applyFont="1" applyBorder="1" applyAlignment="1">
      <alignment vertical="top" wrapText="1"/>
      <protection/>
    </xf>
    <xf numFmtId="0" fontId="3" fillId="0" borderId="13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7" fillId="0" borderId="0" xfId="67" applyFont="1" applyAlignment="1" applyProtection="1">
      <alignment horizontal="left" vertical="top" wrapText="1"/>
      <protection locked="0"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wrapText="1"/>
      <protection/>
    </xf>
    <xf numFmtId="49" fontId="3" fillId="0" borderId="0" xfId="57" applyNumberFormat="1" applyFont="1" applyFill="1" applyBorder="1" applyAlignment="1">
      <alignment horizontal="left" vertical="top" wrapText="1"/>
      <protection/>
    </xf>
    <xf numFmtId="49" fontId="4" fillId="0" borderId="16" xfId="57" applyNumberFormat="1" applyFont="1" applyFill="1" applyBorder="1" applyAlignment="1">
      <alignment horizontal="left" vertical="top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31" xfId="58" applyFont="1" applyBorder="1" applyAlignment="1">
      <alignment horizontal="center" vertical="center" wrapText="1"/>
      <protection/>
    </xf>
    <xf numFmtId="0" fontId="3" fillId="0" borderId="17" xfId="58" applyFont="1" applyBorder="1" applyAlignment="1">
      <alignment horizontal="center" vertical="center" wrapText="1"/>
      <protection/>
    </xf>
    <xf numFmtId="0" fontId="3" fillId="0" borderId="29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7" fillId="0" borderId="0" xfId="67" applyFont="1" applyAlignment="1" applyProtection="1">
      <alignment horizontal="left" wrapText="1"/>
      <protection locked="0"/>
    </xf>
    <xf numFmtId="0" fontId="54" fillId="0" borderId="30" xfId="58" applyFont="1" applyBorder="1" applyAlignment="1">
      <alignment horizontal="left" vertical="center" wrapText="1"/>
      <protection/>
    </xf>
    <xf numFmtId="0" fontId="54" fillId="0" borderId="11" xfId="58" applyFont="1" applyBorder="1" applyAlignment="1">
      <alignment horizontal="left" vertical="center" wrapText="1"/>
      <protection/>
    </xf>
    <xf numFmtId="2" fontId="53" fillId="0" borderId="29" xfId="58" applyNumberFormat="1" applyFont="1" applyFill="1" applyBorder="1" applyAlignment="1">
      <alignment horizontal="right" vertical="center"/>
      <protection/>
    </xf>
    <xf numFmtId="2" fontId="53" fillId="0" borderId="16" xfId="58" applyNumberFormat="1" applyFont="1" applyFill="1" applyBorder="1" applyAlignment="1">
      <alignment horizontal="right" vertical="center"/>
      <protection/>
    </xf>
    <xf numFmtId="0" fontId="54" fillId="0" borderId="10" xfId="58" applyFont="1" applyBorder="1" applyAlignment="1">
      <alignment horizontal="left" vertical="center" wrapText="1"/>
      <protection/>
    </xf>
    <xf numFmtId="0" fontId="54" fillId="0" borderId="18" xfId="58" applyFont="1" applyBorder="1" applyAlignment="1">
      <alignment horizontal="center" vertical="center" wrapText="1"/>
      <protection/>
    </xf>
    <xf numFmtId="0" fontId="54" fillId="0" borderId="12" xfId="58" applyFont="1" applyBorder="1" applyAlignment="1">
      <alignment horizontal="center" vertical="center" wrapText="1"/>
      <protection/>
    </xf>
    <xf numFmtId="0" fontId="53" fillId="0" borderId="30" xfId="58" applyFont="1" applyBorder="1" applyAlignment="1">
      <alignment horizontal="right" vertical="center" wrapText="1"/>
      <protection/>
    </xf>
    <xf numFmtId="0" fontId="53" fillId="0" borderId="11" xfId="58" applyFont="1" applyBorder="1" applyAlignment="1">
      <alignment horizontal="right" vertical="center" wrapText="1"/>
      <protection/>
    </xf>
    <xf numFmtId="0" fontId="53" fillId="0" borderId="15" xfId="58" applyFont="1" applyBorder="1" applyAlignment="1">
      <alignment horizontal="right" vertical="center" wrapText="1"/>
      <protection/>
    </xf>
    <xf numFmtId="0" fontId="4" fillId="34" borderId="18" xfId="58" applyFont="1" applyFill="1" applyBorder="1" applyAlignment="1">
      <alignment horizontal="center" vertical="center" wrapText="1"/>
      <protection/>
    </xf>
    <xf numFmtId="0" fontId="4" fillId="34" borderId="12" xfId="58" applyFont="1" applyFill="1" applyBorder="1" applyAlignment="1">
      <alignment horizontal="center" vertic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left" vertical="center" wrapText="1"/>
      <protection/>
    </xf>
    <xf numFmtId="0" fontId="53" fillId="0" borderId="10" xfId="58" applyFont="1" applyBorder="1" applyAlignment="1">
      <alignment wrapText="1"/>
      <protection/>
    </xf>
    <xf numFmtId="0" fontId="54" fillId="0" borderId="14" xfId="58" applyFont="1" applyBorder="1" applyAlignment="1">
      <alignment horizontal="center" vertical="center" wrapText="1"/>
      <protection/>
    </xf>
    <xf numFmtId="0" fontId="53" fillId="0" borderId="14" xfId="58" applyFont="1" applyBorder="1" applyAlignment="1">
      <alignment wrapText="1"/>
      <protection/>
    </xf>
    <xf numFmtId="2" fontId="53" fillId="0" borderId="30" xfId="58" applyNumberFormat="1" applyFont="1" applyFill="1" applyBorder="1" applyAlignment="1">
      <alignment horizontal="right" vertical="center" wrapText="1"/>
      <protection/>
    </xf>
    <xf numFmtId="2" fontId="53" fillId="0" borderId="11" xfId="58" applyNumberFormat="1" applyFont="1" applyFill="1" applyBorder="1" applyAlignment="1">
      <alignment horizontal="right" vertical="center" wrapText="1"/>
      <protection/>
    </xf>
    <xf numFmtId="2" fontId="53" fillId="0" borderId="29" xfId="58" applyNumberFormat="1" applyFont="1" applyFill="1" applyBorder="1" applyAlignment="1">
      <alignment horizontal="right" vertical="center" wrapText="1"/>
      <protection/>
    </xf>
    <xf numFmtId="2" fontId="53" fillId="0" borderId="16" xfId="58" applyNumberFormat="1" applyFont="1" applyFill="1" applyBorder="1" applyAlignment="1">
      <alignment horizontal="right" vertical="center" wrapText="1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0" fontId="54" fillId="0" borderId="30" xfId="58" applyFont="1" applyFill="1" applyBorder="1" applyAlignment="1">
      <alignment horizontal="left" vertical="center" wrapText="1"/>
      <protection/>
    </xf>
    <xf numFmtId="0" fontId="53" fillId="0" borderId="17" xfId="58" applyFont="1" applyBorder="1" applyAlignment="1">
      <alignment horizontal="left" vertical="center" wrapText="1"/>
      <protection/>
    </xf>
    <xf numFmtId="0" fontId="54" fillId="0" borderId="31" xfId="58" applyFont="1" applyBorder="1" applyAlignment="1">
      <alignment horizontal="center" vertical="center" wrapText="1"/>
      <protection/>
    </xf>
    <xf numFmtId="0" fontId="54" fillId="0" borderId="17" xfId="58" applyFont="1" applyBorder="1" applyAlignment="1">
      <alignment horizontal="center" vertical="center" wrapText="1"/>
      <protection/>
    </xf>
    <xf numFmtId="0" fontId="54" fillId="0" borderId="32" xfId="58" applyFont="1" applyBorder="1" applyAlignment="1">
      <alignment horizontal="center" vertical="center" wrapText="1"/>
      <protection/>
    </xf>
    <xf numFmtId="0" fontId="54" fillId="0" borderId="13" xfId="58" applyFont="1" applyBorder="1" applyAlignment="1">
      <alignment horizontal="center" vertical="center" wrapText="1"/>
      <protection/>
    </xf>
    <xf numFmtId="0" fontId="54" fillId="0" borderId="0" xfId="58" applyFont="1" applyBorder="1" applyAlignment="1">
      <alignment horizontal="center" vertical="center" wrapText="1"/>
      <protection/>
    </xf>
    <xf numFmtId="0" fontId="54" fillId="0" borderId="27" xfId="58" applyFont="1" applyBorder="1" applyAlignment="1">
      <alignment horizontal="center" vertical="center" wrapText="1"/>
      <protection/>
    </xf>
    <xf numFmtId="0" fontId="54" fillId="0" borderId="29" xfId="58" applyFont="1" applyBorder="1" applyAlignment="1">
      <alignment horizontal="center" vertical="center" wrapText="1"/>
      <protection/>
    </xf>
    <xf numFmtId="0" fontId="54" fillId="0" borderId="16" xfId="58" applyFont="1" applyBorder="1" applyAlignment="1">
      <alignment horizontal="center" vertical="center" wrapText="1"/>
      <protection/>
    </xf>
    <xf numFmtId="0" fontId="54" fillId="0" borderId="28" xfId="58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53" fillId="0" borderId="0" xfId="58" applyFont="1" applyAlignment="1">
      <alignment horizontal="left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31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32" xfId="57" applyFont="1" applyBorder="1" applyAlignment="1">
      <alignment horizontal="center" vertical="top" wrapText="1"/>
      <protection/>
    </xf>
    <xf numFmtId="0" fontId="3" fillId="0" borderId="0" xfId="57" applyFont="1" applyAlignment="1">
      <alignment horizontal="left" vertical="center"/>
      <protection/>
    </xf>
    <xf numFmtId="0" fontId="4" fillId="0" borderId="16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6" fillId="0" borderId="30" xfId="57" applyFont="1" applyBorder="1" applyAlignment="1">
      <alignment horizontal="left" vertical="top" wrapText="1"/>
      <protection/>
    </xf>
    <xf numFmtId="0" fontId="6" fillId="0" borderId="11" xfId="57" applyFont="1" applyBorder="1" applyAlignment="1">
      <alignment horizontal="left" vertical="top" wrapText="1"/>
      <protection/>
    </xf>
    <xf numFmtId="0" fontId="6" fillId="0" borderId="31" xfId="57" applyFont="1" applyBorder="1" applyAlignment="1">
      <alignment horizontal="left" vertical="top" wrapText="1"/>
      <protection/>
    </xf>
    <xf numFmtId="0" fontId="6" fillId="0" borderId="17" xfId="57" applyFont="1" applyBorder="1" applyAlignment="1">
      <alignment horizontal="left" vertical="top" wrapText="1"/>
      <protection/>
    </xf>
    <xf numFmtId="49" fontId="4" fillId="0" borderId="0" xfId="57" applyNumberFormat="1" applyFont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8" xfId="57" applyFont="1" applyBorder="1" applyAlignment="1">
      <alignment horizontal="left" wrapText="1"/>
      <protection/>
    </xf>
    <xf numFmtId="2" fontId="3" fillId="0" borderId="14" xfId="57" applyNumberFormat="1" applyFont="1" applyBorder="1" applyAlignment="1">
      <alignment horizontal="center" wrapText="1"/>
      <protection/>
    </xf>
    <xf numFmtId="0" fontId="3" fillId="0" borderId="27" xfId="57" applyFont="1" applyBorder="1" applyAlignment="1">
      <alignment horizontal="center" vertical="top" wrapText="1"/>
      <protection/>
    </xf>
    <xf numFmtId="2" fontId="3" fillId="0" borderId="18" xfId="57" applyNumberFormat="1" applyFont="1" applyBorder="1" applyAlignment="1">
      <alignment horizontal="center" wrapText="1"/>
      <protection/>
    </xf>
    <xf numFmtId="2" fontId="3" fillId="0" borderId="14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4" fillId="0" borderId="30" xfId="57" applyFont="1" applyBorder="1" applyAlignment="1">
      <alignment horizontal="left" vertical="top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/>
      <protection/>
    </xf>
    <xf numFmtId="0" fontId="3" fillId="0" borderId="30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30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29" xfId="57" applyFont="1" applyBorder="1" applyAlignment="1">
      <alignment horizontal="left" vertical="center" indent="2"/>
      <protection/>
    </xf>
    <xf numFmtId="0" fontId="3" fillId="0" borderId="16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left" vertical="top" wrapText="1"/>
      <protection/>
    </xf>
    <xf numFmtId="49" fontId="3" fillId="0" borderId="0" xfId="57" applyNumberFormat="1" applyFont="1" applyAlignment="1">
      <alignment horizontal="center" wrapText="1"/>
      <protection/>
    </xf>
    <xf numFmtId="0" fontId="6" fillId="0" borderId="30" xfId="57" applyFont="1" applyBorder="1" applyAlignment="1">
      <alignment horizontal="center" vertical="top" wrapText="1"/>
      <protection/>
    </xf>
    <xf numFmtId="0" fontId="6" fillId="0" borderId="11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30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49" fontId="3" fillId="0" borderId="0" xfId="57" applyNumberFormat="1" applyFont="1" applyAlignment="1">
      <alignment horizontal="left" wrapText="1"/>
      <protection/>
    </xf>
    <xf numFmtId="0" fontId="4" fillId="0" borderId="0" xfId="54" applyFont="1" applyAlignment="1">
      <alignment horizontal="center"/>
      <protection/>
    </xf>
    <xf numFmtId="0" fontId="3" fillId="0" borderId="0" xfId="57" applyFont="1" applyAlignment="1">
      <alignment horizontal="lef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3"/>
  <sheetViews>
    <sheetView tabSelected="1" view="pageBreakPreview" zoomScaleSheetLayoutView="100" zoomScalePageLayoutView="0" workbookViewId="0" topLeftCell="A7">
      <selection activeCell="A17" sqref="A17:F17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7.25" customHeight="1">
      <c r="E1" s="460" t="s">
        <v>94</v>
      </c>
      <c r="F1" s="460"/>
    </row>
    <row r="2" spans="5:6" ht="13.5" customHeight="1">
      <c r="E2" s="459" t="s">
        <v>257</v>
      </c>
      <c r="F2" s="459"/>
    </row>
    <row r="3" spans="5:6" ht="15" customHeight="1">
      <c r="E3" s="459" t="s">
        <v>236</v>
      </c>
      <c r="F3" s="459"/>
    </row>
    <row r="4" spans="5:6" ht="21.75" customHeight="1">
      <c r="E4" s="459" t="s">
        <v>258</v>
      </c>
      <c r="F4" s="459"/>
    </row>
    <row r="5" spans="5:6" ht="19.5" customHeight="1">
      <c r="E5" s="459" t="s">
        <v>235</v>
      </c>
      <c r="F5" s="459"/>
    </row>
    <row r="6" spans="5:6" ht="19.5" customHeight="1">
      <c r="E6" s="25"/>
      <c r="F6" s="25"/>
    </row>
    <row r="7" spans="5:6" ht="19.5" customHeight="1">
      <c r="E7" s="25"/>
      <c r="F7" s="25"/>
    </row>
    <row r="8" spans="5:6" ht="19.5" customHeight="1">
      <c r="E8" s="25"/>
      <c r="F8" s="25"/>
    </row>
    <row r="9" spans="5:6" ht="19.5" customHeight="1">
      <c r="E9" s="25"/>
      <c r="F9" s="25"/>
    </row>
    <row r="10" spans="5:6" ht="19.5" customHeight="1">
      <c r="E10" s="25"/>
      <c r="F10" s="25"/>
    </row>
    <row r="11" spans="5:6" ht="19.5" customHeight="1">
      <c r="E11" s="25"/>
      <c r="F11" s="25"/>
    </row>
    <row r="12" spans="5:6" ht="12.75">
      <c r="E12" s="459"/>
      <c r="F12" s="459"/>
    </row>
    <row r="13" spans="5:6" ht="12.75">
      <c r="E13" s="25"/>
      <c r="F13" s="25"/>
    </row>
    <row r="14" spans="5:6" ht="12.75">
      <c r="E14" s="459"/>
      <c r="F14" s="459"/>
    </row>
    <row r="15" spans="1:6" ht="12.75">
      <c r="A15" s="454" t="s">
        <v>5</v>
      </c>
      <c r="B15" s="454"/>
      <c r="C15" s="454"/>
      <c r="D15" s="454"/>
      <c r="E15" s="454"/>
      <c r="F15" s="454"/>
    </row>
    <row r="16" spans="1:6" ht="12.75">
      <c r="A16" s="73"/>
      <c r="B16" s="73"/>
      <c r="C16" s="73"/>
      <c r="D16" s="73"/>
      <c r="E16" s="73"/>
      <c r="F16" s="73"/>
    </row>
    <row r="17" spans="1:10" ht="18" customHeight="1">
      <c r="A17" s="455" t="s">
        <v>268</v>
      </c>
      <c r="B17" s="455"/>
      <c r="C17" s="455"/>
      <c r="D17" s="455"/>
      <c r="E17" s="455"/>
      <c r="F17" s="455"/>
      <c r="G17" s="17"/>
      <c r="H17" s="16"/>
      <c r="I17" s="17"/>
      <c r="J17" s="16"/>
    </row>
    <row r="18" spans="1:10" ht="13.5" customHeight="1">
      <c r="A18" s="458" t="s">
        <v>92</v>
      </c>
      <c r="B18" s="458"/>
      <c r="C18" s="458"/>
      <c r="D18" s="458"/>
      <c r="E18" s="458"/>
      <c r="F18" s="458"/>
      <c r="G18" s="17"/>
      <c r="H18" s="16"/>
      <c r="I18" s="17"/>
      <c r="J18" s="16"/>
    </row>
    <row r="19" spans="1:10" ht="13.5" customHeight="1">
      <c r="A19" s="458" t="s">
        <v>237</v>
      </c>
      <c r="B19" s="458"/>
      <c r="C19" s="458"/>
      <c r="D19" s="458"/>
      <c r="E19" s="458"/>
      <c r="F19" s="458"/>
      <c r="G19" s="17"/>
      <c r="H19" s="16"/>
      <c r="I19" s="17"/>
      <c r="J19" s="16"/>
    </row>
    <row r="20" spans="1:10" ht="13.5" customHeight="1">
      <c r="A20" s="74"/>
      <c r="B20" s="74"/>
      <c r="C20" s="74"/>
      <c r="D20" s="74"/>
      <c r="E20" s="74"/>
      <c r="F20" s="74"/>
      <c r="G20" s="17"/>
      <c r="H20" s="16"/>
      <c r="I20" s="17"/>
      <c r="J20" s="16"/>
    </row>
    <row r="21" spans="1:18" ht="12.75" customHeight="1">
      <c r="A21" s="456" t="s">
        <v>6</v>
      </c>
      <c r="B21" s="457" t="s">
        <v>7</v>
      </c>
      <c r="C21" s="456" t="s">
        <v>8</v>
      </c>
      <c r="D21" s="453" t="s">
        <v>18</v>
      </c>
      <c r="E21" s="453" t="s">
        <v>87</v>
      </c>
      <c r="F21" s="453" t="s">
        <v>88</v>
      </c>
      <c r="I21" s="18"/>
      <c r="J21" s="19"/>
      <c r="K21" s="12"/>
      <c r="L21" s="16"/>
      <c r="M21" s="9"/>
      <c r="N21" s="4"/>
      <c r="O21" s="5"/>
      <c r="P21" s="6"/>
      <c r="Q21" s="7"/>
      <c r="R21" s="6"/>
    </row>
    <row r="22" spans="1:18" ht="38.25" customHeight="1">
      <c r="A22" s="456"/>
      <c r="B22" s="457"/>
      <c r="C22" s="456"/>
      <c r="D22" s="453"/>
      <c r="E22" s="453"/>
      <c r="F22" s="453"/>
      <c r="I22" s="18"/>
      <c r="J22" s="19"/>
      <c r="K22" s="12"/>
      <c r="L22" s="16"/>
      <c r="M22" s="9"/>
      <c r="N22" s="4"/>
      <c r="O22" s="5"/>
      <c r="P22" s="10"/>
      <c r="Q22" s="7"/>
      <c r="R22" s="6"/>
    </row>
    <row r="23" spans="1:18" ht="30" customHeight="1">
      <c r="A23" s="64">
        <v>1</v>
      </c>
      <c r="B23" s="65" t="s">
        <v>19</v>
      </c>
      <c r="C23" s="66" t="s">
        <v>9</v>
      </c>
      <c r="D23" s="67">
        <f>'См№1 ПР'!V38</f>
        <v>2952140</v>
      </c>
      <c r="E23" s="67">
        <f>'См№1 ПР'!V39</f>
        <v>590428</v>
      </c>
      <c r="F23" s="68">
        <f>'См№1 ПР'!V40</f>
        <v>3542568</v>
      </c>
      <c r="H23" s="80"/>
      <c r="I23" s="81"/>
      <c r="J23" s="19"/>
      <c r="K23" s="12"/>
      <c r="L23" s="16"/>
      <c r="M23" s="9"/>
      <c r="N23" s="4"/>
      <c r="O23" s="5"/>
      <c r="P23" s="10"/>
      <c r="Q23" s="7"/>
      <c r="R23" s="6"/>
    </row>
    <row r="24" spans="1:18" ht="18.75" customHeight="1">
      <c r="A24" s="64">
        <v>2</v>
      </c>
      <c r="B24" s="65" t="s">
        <v>227</v>
      </c>
      <c r="C24" s="66" t="s">
        <v>228</v>
      </c>
      <c r="D24" s="67">
        <f>'См№ Геодез'!N38</f>
        <v>5816.67</v>
      </c>
      <c r="E24" s="67">
        <f>'См№ Геодез'!N39</f>
        <v>1163.33</v>
      </c>
      <c r="F24" s="68">
        <f>'См№ Геодез'!N40</f>
        <v>6980</v>
      </c>
      <c r="G24" s="20"/>
      <c r="H24" s="80"/>
      <c r="I24" s="8"/>
      <c r="J24" s="4"/>
      <c r="K24" s="13"/>
      <c r="L24" s="9"/>
      <c r="M24" s="11"/>
      <c r="N24" s="4"/>
      <c r="O24" s="5"/>
      <c r="P24" s="10"/>
      <c r="Q24" s="7"/>
      <c r="R24" s="6"/>
    </row>
    <row r="25" spans="1:18" ht="18.75" customHeight="1">
      <c r="A25" s="64">
        <v>3</v>
      </c>
      <c r="B25" s="65" t="s">
        <v>174</v>
      </c>
      <c r="C25" s="66" t="s">
        <v>225</v>
      </c>
      <c r="D25" s="67">
        <f>'См№ Геолог'!N53</f>
        <v>287917.18</v>
      </c>
      <c r="E25" s="67">
        <f>'См№ Геолог'!N54</f>
        <v>57583.44</v>
      </c>
      <c r="F25" s="68">
        <f>'См№ Геолог'!N55</f>
        <v>345500.62</v>
      </c>
      <c r="G25" s="20"/>
      <c r="H25" s="80"/>
      <c r="I25" s="8"/>
      <c r="J25" s="4"/>
      <c r="K25" s="13"/>
      <c r="L25" s="9"/>
      <c r="M25" s="11"/>
      <c r="N25" s="4"/>
      <c r="O25" s="5"/>
      <c r="P25" s="10"/>
      <c r="Q25" s="7"/>
      <c r="R25" s="6"/>
    </row>
    <row r="26" spans="1:18" ht="18.75" customHeight="1">
      <c r="A26" s="64">
        <v>4</v>
      </c>
      <c r="B26" s="65" t="s">
        <v>229</v>
      </c>
      <c r="C26" s="66" t="s">
        <v>230</v>
      </c>
      <c r="D26" s="67">
        <f>'См№ Экология'!M62</f>
        <v>14974.81</v>
      </c>
      <c r="E26" s="67">
        <f>'См№ Экология'!M63</f>
        <v>2994.96</v>
      </c>
      <c r="F26" s="68">
        <f>'См№ Экология'!M64</f>
        <v>17969.77</v>
      </c>
      <c r="G26" s="20"/>
      <c r="H26" s="80"/>
      <c r="I26" s="8"/>
      <c r="J26" s="4"/>
      <c r="K26" s="13"/>
      <c r="L26" s="9"/>
      <c r="M26" s="11"/>
      <c r="N26" s="4"/>
      <c r="O26" s="5"/>
      <c r="P26" s="10"/>
      <c r="Q26" s="7"/>
      <c r="R26" s="6"/>
    </row>
    <row r="27" spans="1:18" ht="15.75" customHeight="1">
      <c r="A27" s="64">
        <v>5</v>
      </c>
      <c r="B27" s="65" t="s">
        <v>89</v>
      </c>
      <c r="C27" s="66" t="s">
        <v>90</v>
      </c>
      <c r="D27" s="67">
        <f>401860.22</f>
        <v>401860.22</v>
      </c>
      <c r="E27" s="67">
        <f>80372.04</f>
        <v>80372.04</v>
      </c>
      <c r="F27" s="68">
        <f>482232.25</f>
        <v>482232.25</v>
      </c>
      <c r="H27" s="4"/>
      <c r="I27" s="4"/>
      <c r="J27" s="9"/>
      <c r="K27" s="9"/>
      <c r="L27" s="9"/>
      <c r="M27" s="9"/>
      <c r="N27" s="4"/>
      <c r="O27" s="5"/>
      <c r="P27" s="10"/>
      <c r="Q27" s="7"/>
      <c r="R27" s="7"/>
    </row>
    <row r="28" spans="1:16" ht="12.75">
      <c r="A28" s="64">
        <v>6</v>
      </c>
      <c r="B28" s="65" t="s">
        <v>10</v>
      </c>
      <c r="C28" s="66"/>
      <c r="D28" s="67">
        <f>SUM(D23:D27)</f>
        <v>3662708.88</v>
      </c>
      <c r="E28" s="67">
        <f>SUM(E23:E27)</f>
        <v>732541.77</v>
      </c>
      <c r="F28" s="67">
        <f>4395250.65</f>
        <v>4395250.65</v>
      </c>
      <c r="H28" s="4"/>
      <c r="I28" s="4"/>
      <c r="J28" s="11"/>
      <c r="K28" s="9"/>
      <c r="L28" s="9"/>
      <c r="M28" s="14"/>
      <c r="N28" s="4"/>
      <c r="O28" s="5"/>
      <c r="P28" s="10"/>
    </row>
    <row r="29" spans="1:16" ht="12.75">
      <c r="A29" s="448"/>
      <c r="B29" s="449"/>
      <c r="C29" s="450"/>
      <c r="D29" s="451"/>
      <c r="E29" s="451"/>
      <c r="F29" s="451"/>
      <c r="H29" s="4"/>
      <c r="I29" s="4"/>
      <c r="J29" s="11"/>
      <c r="K29" s="9"/>
      <c r="L29" s="9"/>
      <c r="M29" s="14"/>
      <c r="N29" s="4"/>
      <c r="O29" s="5"/>
      <c r="P29" s="10"/>
    </row>
    <row r="30" spans="1:16" ht="12.75" customHeight="1">
      <c r="A30" s="44"/>
      <c r="B30" s="44"/>
      <c r="C30" s="44"/>
      <c r="D30" s="69"/>
      <c r="E30" s="44"/>
      <c r="F30" s="69"/>
      <c r="H30" s="4"/>
      <c r="I30" s="4"/>
      <c r="J30" s="9"/>
      <c r="K30" s="9"/>
      <c r="L30" s="9"/>
      <c r="M30" s="9"/>
      <c r="N30" s="4"/>
      <c r="O30" s="5"/>
      <c r="P30" s="10"/>
    </row>
    <row r="31" spans="1:16" ht="12.75">
      <c r="A31" s="44"/>
      <c r="B31" s="26" t="s">
        <v>252</v>
      </c>
      <c r="C31" s="26"/>
      <c r="D31" s="452" t="s">
        <v>256</v>
      </c>
      <c r="E31" s="452"/>
      <c r="F31" s="26"/>
      <c r="H31" s="4"/>
      <c r="I31" s="4"/>
      <c r="J31" s="9"/>
      <c r="K31" s="9"/>
      <c r="L31" s="9"/>
      <c r="M31" s="9"/>
      <c r="N31" s="4"/>
      <c r="O31" s="5"/>
      <c r="P31" s="10"/>
    </row>
    <row r="32" spans="1:16" ht="12.75">
      <c r="A32" s="44"/>
      <c r="B32" s="26"/>
      <c r="C32" s="26"/>
      <c r="D32" s="44"/>
      <c r="E32" s="15"/>
      <c r="F32" s="44"/>
      <c r="H32" s="4"/>
      <c r="I32" s="4"/>
      <c r="J32" s="9"/>
      <c r="K32" s="9"/>
      <c r="L32" s="9"/>
      <c r="M32" s="9"/>
      <c r="N32" s="4"/>
      <c r="O32" s="5"/>
      <c r="P32" s="10"/>
    </row>
    <row r="33" spans="1:16" ht="12.75">
      <c r="A33" s="44"/>
      <c r="B33" s="44"/>
      <c r="C33" s="44"/>
      <c r="D33" s="44"/>
      <c r="E33" s="69"/>
      <c r="F33" s="44"/>
      <c r="H33" s="4"/>
      <c r="I33" s="4"/>
      <c r="J33" s="9"/>
      <c r="K33" s="9"/>
      <c r="L33" s="9"/>
      <c r="M33" s="9"/>
      <c r="N33" s="4"/>
      <c r="O33" s="5"/>
      <c r="P33" s="10"/>
    </row>
    <row r="34" spans="1:16" ht="12.75">
      <c r="A34" s="44"/>
      <c r="B34" s="44"/>
      <c r="C34" s="44"/>
      <c r="D34" s="44"/>
      <c r="E34" s="69"/>
      <c r="F34" s="44"/>
      <c r="H34" s="4"/>
      <c r="I34" s="4"/>
      <c r="J34" s="9"/>
      <c r="K34" s="9"/>
      <c r="L34" s="9"/>
      <c r="M34" s="9"/>
      <c r="N34" s="4"/>
      <c r="O34" s="5"/>
      <c r="P34" s="10"/>
    </row>
    <row r="35" spans="1:16" ht="12.75">
      <c r="A35" s="44"/>
      <c r="B35" s="15"/>
      <c r="C35" s="15"/>
      <c r="D35" s="44"/>
      <c r="E35" s="15"/>
      <c r="F35" s="44"/>
      <c r="H35" s="4"/>
      <c r="I35" s="4"/>
      <c r="J35" s="9"/>
      <c r="K35" s="9"/>
      <c r="L35" s="9"/>
      <c r="M35" s="9"/>
      <c r="N35" s="4"/>
      <c r="O35" s="5"/>
      <c r="P35" s="10"/>
    </row>
    <row r="36" spans="1:15" ht="12.75">
      <c r="A36" s="44"/>
      <c r="B36" s="15"/>
      <c r="C36" s="15"/>
      <c r="D36" s="44"/>
      <c r="E36" s="15"/>
      <c r="F36" s="44"/>
      <c r="H36" s="4"/>
      <c r="I36" s="4"/>
      <c r="J36" s="9"/>
      <c r="K36" s="9"/>
      <c r="L36" s="9"/>
      <c r="M36" s="9"/>
      <c r="N36" s="4"/>
      <c r="O36" s="5"/>
    </row>
    <row r="37" spans="1:15" ht="12.75">
      <c r="A37" s="44"/>
      <c r="B37" s="15"/>
      <c r="C37" s="15"/>
      <c r="D37" s="44"/>
      <c r="E37" s="15"/>
      <c r="F37" s="44"/>
      <c r="H37" s="4"/>
      <c r="I37" s="4"/>
      <c r="J37" s="9"/>
      <c r="K37" s="9"/>
      <c r="L37" s="9"/>
      <c r="M37" s="9"/>
      <c r="N37" s="4"/>
      <c r="O37" s="5"/>
    </row>
    <row r="38" spans="1:15" ht="12.75">
      <c r="A38" s="44"/>
      <c r="B38" s="15"/>
      <c r="C38" s="15"/>
      <c r="D38" s="44"/>
      <c r="E38" s="15"/>
      <c r="F38" s="44"/>
      <c r="H38" s="4"/>
      <c r="I38" s="4"/>
      <c r="J38" s="9"/>
      <c r="K38" s="9"/>
      <c r="L38" s="9"/>
      <c r="M38" s="9"/>
      <c r="N38" s="4"/>
      <c r="O38" s="5"/>
    </row>
    <row r="39" spans="1:15" ht="12.75">
      <c r="A39" s="44"/>
      <c r="B39" s="44"/>
      <c r="C39" s="44"/>
      <c r="D39" s="44"/>
      <c r="E39" s="44"/>
      <c r="F39" s="44"/>
      <c r="H39" s="4"/>
      <c r="I39" s="4"/>
      <c r="J39" s="9"/>
      <c r="K39" s="9"/>
      <c r="L39" s="9"/>
      <c r="M39" s="9"/>
      <c r="N39" s="4"/>
      <c r="O39" s="5"/>
    </row>
    <row r="40" spans="1:15" ht="12.75">
      <c r="A40" s="44"/>
      <c r="B40" s="44"/>
      <c r="C40" s="44"/>
      <c r="D40" s="44"/>
      <c r="E40" s="44"/>
      <c r="F40" s="44"/>
      <c r="H40" s="4"/>
      <c r="I40" s="4"/>
      <c r="J40" s="9"/>
      <c r="K40" s="9"/>
      <c r="L40" s="9"/>
      <c r="M40" s="9"/>
      <c r="N40" s="4"/>
      <c r="O40" s="4"/>
    </row>
    <row r="41" spans="1:15" ht="12.75">
      <c r="A41" s="44"/>
      <c r="B41" s="44"/>
      <c r="C41" s="44"/>
      <c r="D41" s="44"/>
      <c r="E41" s="44"/>
      <c r="F41" s="44"/>
      <c r="H41" s="4"/>
      <c r="I41" s="4"/>
      <c r="J41" s="9"/>
      <c r="K41" s="9"/>
      <c r="L41" s="9"/>
      <c r="M41" s="9"/>
      <c r="N41" s="4"/>
      <c r="O41" s="4"/>
    </row>
    <row r="42" spans="10:13" ht="12.75">
      <c r="J42" s="10"/>
      <c r="K42" s="10"/>
      <c r="L42" s="10"/>
      <c r="M42" s="10"/>
    </row>
    <row r="43" spans="10:13" ht="12.75">
      <c r="J43" s="10"/>
      <c r="K43" s="10"/>
      <c r="L43" s="10"/>
      <c r="M43" s="10"/>
    </row>
    <row r="44" spans="10:13" ht="12.75">
      <c r="J44" s="10"/>
      <c r="K44" s="10"/>
      <c r="L44" s="10"/>
      <c r="M44" s="10"/>
    </row>
    <row r="45" spans="10:13" ht="12.75">
      <c r="J45" s="10"/>
      <c r="K45" s="10"/>
      <c r="L45" s="10"/>
      <c r="M45" s="10"/>
    </row>
    <row r="46" spans="10:13" ht="12.75">
      <c r="J46" s="10"/>
      <c r="K46" s="10"/>
      <c r="L46" s="10"/>
      <c r="M46" s="10"/>
    </row>
    <row r="47" spans="10:13" ht="12.75">
      <c r="J47" s="10"/>
      <c r="K47" s="10"/>
      <c r="L47" s="10"/>
      <c r="M47" s="10"/>
    </row>
    <row r="48" spans="10:13" ht="12.75">
      <c r="J48" s="10"/>
      <c r="K48" s="10"/>
      <c r="L48" s="10"/>
      <c r="M48" s="10"/>
    </row>
    <row r="49" spans="10:13" ht="12.75">
      <c r="J49" s="10"/>
      <c r="K49" s="10"/>
      <c r="L49" s="10"/>
      <c r="M49" s="10"/>
    </row>
    <row r="50" spans="10:13" ht="12.75">
      <c r="J50" s="10"/>
      <c r="K50" s="10"/>
      <c r="L50" s="10"/>
      <c r="M50" s="10"/>
    </row>
    <row r="51" spans="10:13" ht="12.75">
      <c r="J51" s="10"/>
      <c r="K51" s="10"/>
      <c r="L51" s="10"/>
      <c r="M51" s="10"/>
    </row>
    <row r="52" spans="10:13" ht="12.75">
      <c r="J52" s="10"/>
      <c r="K52" s="10"/>
      <c r="L52" s="10"/>
      <c r="M52" s="10"/>
    </row>
    <row r="53" spans="10:13" ht="12.75">
      <c r="J53" s="10"/>
      <c r="K53" s="10"/>
      <c r="L53" s="10"/>
      <c r="M53" s="10"/>
    </row>
    <row r="54" spans="10:13" ht="12.75">
      <c r="J54" s="10"/>
      <c r="K54" s="10"/>
      <c r="L54" s="10"/>
      <c r="M54" s="10"/>
    </row>
    <row r="55" spans="10:13" ht="12.75">
      <c r="J55" s="10"/>
      <c r="K55" s="10"/>
      <c r="L55" s="10"/>
      <c r="M55" s="10"/>
    </row>
    <row r="56" spans="10:13" ht="12.75">
      <c r="J56" s="10"/>
      <c r="K56" s="10"/>
      <c r="L56" s="10"/>
      <c r="M56" s="10"/>
    </row>
    <row r="57" spans="10:13" ht="12.75">
      <c r="J57" s="10"/>
      <c r="K57" s="10"/>
      <c r="L57" s="10"/>
      <c r="M57" s="10"/>
    </row>
    <row r="58" spans="10:13" ht="12.75">
      <c r="J58" s="10"/>
      <c r="K58" s="10"/>
      <c r="L58" s="10"/>
      <c r="M58" s="10"/>
    </row>
    <row r="59" spans="10:13" ht="12.75">
      <c r="J59" s="10"/>
      <c r="K59" s="10"/>
      <c r="L59" s="10"/>
      <c r="M59" s="10"/>
    </row>
    <row r="60" spans="10:13" ht="12.75">
      <c r="J60" s="10"/>
      <c r="K60" s="10"/>
      <c r="L60" s="10"/>
      <c r="M60" s="10"/>
    </row>
    <row r="61" spans="10:13" ht="12.75">
      <c r="J61" s="10"/>
      <c r="K61" s="10"/>
      <c r="L61" s="10"/>
      <c r="M61" s="10"/>
    </row>
    <row r="62" spans="10:13" ht="12.75">
      <c r="J62" s="10"/>
      <c r="K62" s="10"/>
      <c r="L62" s="10"/>
      <c r="M62" s="10"/>
    </row>
    <row r="63" spans="10:13" ht="12.75">
      <c r="J63" s="10"/>
      <c r="K63" s="10"/>
      <c r="L63" s="10"/>
      <c r="M63" s="10"/>
    </row>
    <row r="64" spans="10:13" ht="12.75">
      <c r="J64" s="10"/>
      <c r="K64" s="10"/>
      <c r="L64" s="10"/>
      <c r="M64" s="10"/>
    </row>
    <row r="65" spans="10:13" ht="12.75">
      <c r="J65" s="10"/>
      <c r="K65" s="10"/>
      <c r="L65" s="10"/>
      <c r="M65" s="10"/>
    </row>
    <row r="66" spans="10:13" ht="12.75">
      <c r="J66" s="10"/>
      <c r="K66" s="10"/>
      <c r="L66" s="10"/>
      <c r="M66" s="10"/>
    </row>
    <row r="67" spans="10:13" ht="12.75">
      <c r="J67" s="10"/>
      <c r="K67" s="10"/>
      <c r="L67" s="10"/>
      <c r="M67" s="10"/>
    </row>
    <row r="68" spans="10:13" ht="12.75">
      <c r="J68" s="10"/>
      <c r="K68" s="10"/>
      <c r="L68" s="10"/>
      <c r="M68" s="10"/>
    </row>
    <row r="69" spans="10:13" ht="12.75">
      <c r="J69" s="10"/>
      <c r="K69" s="10"/>
      <c r="L69" s="10"/>
      <c r="M69" s="10"/>
    </row>
    <row r="70" spans="10:13" ht="12.75">
      <c r="J70" s="10"/>
      <c r="K70" s="10"/>
      <c r="L70" s="10"/>
      <c r="M70" s="10"/>
    </row>
    <row r="71" spans="10:13" ht="12.75">
      <c r="J71" s="10"/>
      <c r="K71" s="10"/>
      <c r="L71" s="10"/>
      <c r="M71" s="10"/>
    </row>
    <row r="72" spans="10:13" ht="12.75">
      <c r="J72" s="10"/>
      <c r="K72" s="10"/>
      <c r="L72" s="10"/>
      <c r="M72" s="10"/>
    </row>
    <row r="73" spans="10:13" ht="12.75">
      <c r="J73" s="10"/>
      <c r="K73" s="10"/>
      <c r="L73" s="10"/>
      <c r="M73" s="10"/>
    </row>
  </sheetData>
  <sheetProtection/>
  <mergeCells count="18">
    <mergeCell ref="A19:F19"/>
    <mergeCell ref="E14:F14"/>
    <mergeCell ref="E4:F4"/>
    <mergeCell ref="E5:F5"/>
    <mergeCell ref="E1:F1"/>
    <mergeCell ref="E2:F2"/>
    <mergeCell ref="E3:F3"/>
    <mergeCell ref="E12:F12"/>
    <mergeCell ref="D31:E31"/>
    <mergeCell ref="F21:F22"/>
    <mergeCell ref="A15:F15"/>
    <mergeCell ref="A17:F17"/>
    <mergeCell ref="A21:A22"/>
    <mergeCell ref="B21:B22"/>
    <mergeCell ref="C21:C22"/>
    <mergeCell ref="D21:D22"/>
    <mergeCell ref="E21:E22"/>
    <mergeCell ref="A18:F18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J48"/>
  <sheetViews>
    <sheetView view="pageBreakPreview" zoomScaleSheetLayoutView="100" zoomScalePageLayoutView="0" workbookViewId="0" topLeftCell="A1">
      <selection activeCell="A11" sqref="A11:V11"/>
    </sheetView>
  </sheetViews>
  <sheetFormatPr defaultColWidth="9.00390625" defaultRowHeight="12.75"/>
  <cols>
    <col min="1" max="1" width="2.75390625" style="3" customWidth="1"/>
    <col min="2" max="2" width="11.75390625" style="3" customWidth="1"/>
    <col min="3" max="3" width="15.75390625" style="3" customWidth="1"/>
    <col min="4" max="4" width="7.75390625" style="3" customWidth="1"/>
    <col min="5" max="5" width="1.75390625" style="3" customWidth="1"/>
    <col min="6" max="6" width="6.375" style="3" customWidth="1"/>
    <col min="7" max="7" width="1.75390625" style="3" customWidth="1"/>
    <col min="8" max="8" width="5.125" style="3" customWidth="1"/>
    <col min="9" max="9" width="1.75390625" style="3" customWidth="1"/>
    <col min="10" max="10" width="8.00390625" style="3" customWidth="1"/>
    <col min="11" max="11" width="2.875" style="3" customWidth="1"/>
    <col min="12" max="12" width="6.125" style="3" customWidth="1"/>
    <col min="13" max="13" width="1.25" style="3" customWidth="1"/>
    <col min="14" max="14" width="0.2421875" style="3" customWidth="1"/>
    <col min="15" max="15" width="1.875" style="3" hidden="1" customWidth="1"/>
    <col min="16" max="16" width="1.25" style="3" hidden="1" customWidth="1"/>
    <col min="17" max="17" width="0.37109375" style="3" hidden="1" customWidth="1"/>
    <col min="18" max="20" width="1.25" style="3" hidden="1" customWidth="1"/>
    <col min="21" max="21" width="0.74609375" style="3" hidden="1" customWidth="1"/>
    <col min="22" max="22" width="10.75390625" style="10" customWidth="1"/>
    <col min="23" max="23" width="9.125" style="3" customWidth="1"/>
    <col min="24" max="24" width="16.375" style="3" customWidth="1"/>
    <col min="25" max="16384" width="9.125" style="3" customWidth="1"/>
  </cols>
  <sheetData>
    <row r="1" spans="5:22" ht="17.25" customHeight="1">
      <c r="E1" s="460" t="s">
        <v>94</v>
      </c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</row>
    <row r="2" spans="5:22" ht="13.5" customHeight="1">
      <c r="E2" s="459" t="s">
        <v>257</v>
      </c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</row>
    <row r="3" spans="5:22" ht="15" customHeight="1">
      <c r="E3" s="459" t="s">
        <v>95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</row>
    <row r="4" spans="5:22" ht="21.75" customHeight="1">
      <c r="E4" s="459" t="s">
        <v>259</v>
      </c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</row>
    <row r="5" spans="5:22" ht="19.5" customHeight="1">
      <c r="E5" s="459" t="s">
        <v>235</v>
      </c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5:22" ht="12.75">
      <c r="E6" s="459"/>
      <c r="F6" s="459"/>
      <c r="V6" s="3"/>
    </row>
    <row r="7" spans="5:22" ht="12.75">
      <c r="E7" s="31"/>
      <c r="F7" s="31"/>
      <c r="G7" s="25"/>
      <c r="H7" s="25"/>
      <c r="I7" s="25"/>
      <c r="J7" s="25"/>
      <c r="K7" s="25"/>
      <c r="L7" s="25"/>
      <c r="M7" s="25"/>
      <c r="N7" s="25"/>
      <c r="O7" s="86"/>
      <c r="P7" s="86"/>
      <c r="Q7" s="86"/>
      <c r="R7" s="86"/>
      <c r="S7" s="86"/>
      <c r="T7" s="86"/>
      <c r="U7" s="86"/>
      <c r="V7" s="87"/>
    </row>
    <row r="8" spans="1:22" ht="12.75">
      <c r="A8" s="493" t="s">
        <v>16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</row>
    <row r="9" spans="1:22" ht="12.75">
      <c r="A9" s="494" t="s">
        <v>96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</row>
    <row r="10" spans="1:22" ht="12.75">
      <c r="A10" s="8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7"/>
    </row>
    <row r="11" spans="1:22" ht="15.75" customHeight="1">
      <c r="A11" s="492" t="s">
        <v>268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</row>
    <row r="12" spans="1:22" ht="13.5" customHeight="1">
      <c r="A12" s="458" t="s">
        <v>92</v>
      </c>
      <c r="B12" s="458"/>
      <c r="C12" s="458"/>
      <c r="D12" s="458"/>
      <c r="E12" s="458"/>
      <c r="F12" s="458"/>
      <c r="G12" s="17"/>
      <c r="H12" s="16"/>
      <c r="I12" s="17"/>
      <c r="J12" s="16"/>
      <c r="V12" s="3"/>
    </row>
    <row r="13" spans="1:22" ht="13.5" customHeight="1">
      <c r="A13" s="458" t="s">
        <v>237</v>
      </c>
      <c r="B13" s="458"/>
      <c r="C13" s="458"/>
      <c r="D13" s="458"/>
      <c r="E13" s="458"/>
      <c r="F13" s="458"/>
      <c r="G13" s="17"/>
      <c r="H13" s="16"/>
      <c r="I13" s="17"/>
      <c r="J13" s="16"/>
      <c r="V13" s="3"/>
    </row>
    <row r="14" spans="1:22" ht="13.5" customHeight="1">
      <c r="A14" s="74"/>
      <c r="B14" s="74"/>
      <c r="C14" s="74"/>
      <c r="D14" s="74"/>
      <c r="E14" s="74"/>
      <c r="F14" s="74"/>
      <c r="G14" s="17"/>
      <c r="H14" s="16"/>
      <c r="I14" s="17"/>
      <c r="J14" s="16"/>
      <c r="V14" s="3"/>
    </row>
    <row r="15" spans="1:22" ht="94.5" customHeight="1">
      <c r="A15" s="89" t="s">
        <v>0</v>
      </c>
      <c r="B15" s="89" t="s">
        <v>1</v>
      </c>
      <c r="C15" s="468" t="s">
        <v>2</v>
      </c>
      <c r="D15" s="499"/>
      <c r="E15" s="469" t="s">
        <v>17</v>
      </c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99"/>
      <c r="V15" s="89" t="s">
        <v>14</v>
      </c>
    </row>
    <row r="16" spans="1:22" ht="11.25" customHeight="1">
      <c r="A16" s="23">
        <v>1</v>
      </c>
      <c r="B16" s="23">
        <v>2</v>
      </c>
      <c r="C16" s="483">
        <v>3</v>
      </c>
      <c r="D16" s="484"/>
      <c r="E16" s="463" t="s">
        <v>13</v>
      </c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84"/>
      <c r="V16" s="90">
        <v>5</v>
      </c>
    </row>
    <row r="17" spans="1:22" ht="131.25" customHeight="1">
      <c r="A17" s="91" t="s">
        <v>4</v>
      </c>
      <c r="B17" s="92" t="s">
        <v>232</v>
      </c>
      <c r="C17" s="485" t="s">
        <v>91</v>
      </c>
      <c r="D17" s="486"/>
      <c r="E17" s="93" t="s">
        <v>23</v>
      </c>
      <c r="F17" s="94">
        <f>D18</f>
        <v>404.6</v>
      </c>
      <c r="G17" s="95" t="s">
        <v>24</v>
      </c>
      <c r="H17" s="95">
        <f>D20</f>
        <v>9.03</v>
      </c>
      <c r="I17" s="96" t="s">
        <v>11</v>
      </c>
      <c r="J17" s="97">
        <f>D19</f>
        <v>180.92</v>
      </c>
      <c r="K17" s="38" t="s">
        <v>25</v>
      </c>
      <c r="L17" s="446">
        <f>D22</f>
        <v>1.15</v>
      </c>
      <c r="M17" s="82"/>
      <c r="N17" s="82"/>
      <c r="O17" s="82"/>
      <c r="P17" s="82"/>
      <c r="Q17" s="82"/>
      <c r="R17" s="82"/>
      <c r="S17" s="82"/>
      <c r="T17" s="82"/>
      <c r="U17" s="82"/>
      <c r="V17" s="98">
        <f>ROUND((F17+H17*J17)*H19*J19*L17*F19,2)</f>
        <v>2617.01</v>
      </c>
    </row>
    <row r="18" spans="1:22" ht="11.25" customHeight="1">
      <c r="A18" s="99"/>
      <c r="B18" s="100"/>
      <c r="C18" s="101" t="s">
        <v>35</v>
      </c>
      <c r="D18" s="102">
        <v>404.6</v>
      </c>
      <c r="E18" s="103"/>
      <c r="F18" s="103"/>
      <c r="G18" s="103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5"/>
      <c r="V18" s="106"/>
    </row>
    <row r="19" spans="1:22" ht="11.25" customHeight="1">
      <c r="A19" s="99"/>
      <c r="B19" s="100"/>
      <c r="C19" s="101" t="s">
        <v>38</v>
      </c>
      <c r="D19" s="107">
        <v>180.92</v>
      </c>
      <c r="E19" s="108" t="s">
        <v>11</v>
      </c>
      <c r="F19" s="109">
        <f>D23</f>
        <v>3.83</v>
      </c>
      <c r="G19" s="110" t="s">
        <v>11</v>
      </c>
      <c r="H19" s="111">
        <f>D21</f>
        <v>1.1</v>
      </c>
      <c r="I19" s="112" t="s">
        <v>11</v>
      </c>
      <c r="J19" s="447">
        <f>D24/100</f>
        <v>0.265</v>
      </c>
      <c r="K19" s="113"/>
      <c r="L19" s="487"/>
      <c r="M19" s="487"/>
      <c r="N19" s="111"/>
      <c r="O19" s="110"/>
      <c r="P19" s="104"/>
      <c r="Q19" s="104"/>
      <c r="R19" s="104"/>
      <c r="S19" s="104"/>
      <c r="T19" s="104"/>
      <c r="U19" s="105"/>
      <c r="V19" s="106"/>
    </row>
    <row r="20" spans="1:22" ht="11.25" customHeight="1">
      <c r="A20" s="99"/>
      <c r="B20" s="115"/>
      <c r="C20" s="101" t="s">
        <v>39</v>
      </c>
      <c r="D20" s="116">
        <v>9.03</v>
      </c>
      <c r="E20" s="103"/>
      <c r="F20" s="103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106"/>
    </row>
    <row r="21" spans="1:22" ht="26.25" customHeight="1">
      <c r="A21" s="99"/>
      <c r="B21" s="489" t="s">
        <v>239</v>
      </c>
      <c r="C21" s="490"/>
      <c r="D21" s="444">
        <v>1.1</v>
      </c>
      <c r="E21" s="103"/>
      <c r="F21" s="103"/>
      <c r="G21" s="103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106"/>
    </row>
    <row r="22" spans="1:22" ht="15.75" customHeight="1">
      <c r="A22" s="99"/>
      <c r="B22" s="491" t="s">
        <v>240</v>
      </c>
      <c r="C22" s="490"/>
      <c r="D22" s="445">
        <v>1.15</v>
      </c>
      <c r="E22" s="103"/>
      <c r="F22" s="103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/>
      <c r="V22" s="106"/>
    </row>
    <row r="23" spans="1:22" ht="24" customHeight="1">
      <c r="A23" s="99"/>
      <c r="B23" s="481" t="s">
        <v>238</v>
      </c>
      <c r="C23" s="482"/>
      <c r="D23" s="443">
        <v>3.83</v>
      </c>
      <c r="E23" s="103"/>
      <c r="F23" s="103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106"/>
    </row>
    <row r="24" spans="1:28" ht="149.25" customHeight="1">
      <c r="A24" s="117"/>
      <c r="B24" s="481" t="s">
        <v>253</v>
      </c>
      <c r="C24" s="482"/>
      <c r="D24" s="443">
        <v>26.5</v>
      </c>
      <c r="E24" s="118"/>
      <c r="F24" s="118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20"/>
      <c r="V24" s="121"/>
      <c r="AA24" s="488"/>
      <c r="AB24" s="488"/>
    </row>
    <row r="25" spans="1:36" ht="65.25" customHeight="1">
      <c r="A25" s="122" t="s">
        <v>3</v>
      </c>
      <c r="B25" s="123" t="s">
        <v>40</v>
      </c>
      <c r="C25" s="485" t="s">
        <v>41</v>
      </c>
      <c r="D25" s="486"/>
      <c r="E25" s="82"/>
      <c r="F25" s="124">
        <f>D26</f>
        <v>30.5</v>
      </c>
      <c r="G25" s="125" t="s">
        <v>11</v>
      </c>
      <c r="H25" s="126">
        <f>D27</f>
        <v>0.88</v>
      </c>
      <c r="I25" s="96" t="s">
        <v>11</v>
      </c>
      <c r="J25" s="127">
        <f>D28</f>
        <v>1.04</v>
      </c>
      <c r="K25" s="95" t="s">
        <v>11</v>
      </c>
      <c r="L25" s="128">
        <f>D29</f>
        <v>1.1</v>
      </c>
      <c r="M25" s="95" t="s">
        <v>11</v>
      </c>
      <c r="N25" s="82"/>
      <c r="O25" s="82"/>
      <c r="P25" s="95" t="s">
        <v>11</v>
      </c>
      <c r="Q25" s="127"/>
      <c r="R25" s="129" t="e">
        <f>ROUND(Z25*AB25*AD25*AF25*AH25*AJ25*G26*I26,2)</f>
        <v>#VALUE!</v>
      </c>
      <c r="S25" s="130"/>
      <c r="T25" s="130"/>
      <c r="U25" s="130"/>
      <c r="V25" s="131">
        <f>ROUND(F25*H25*J25*L25*F26*H26*J26*L26,2)</f>
        <v>142</v>
      </c>
      <c r="Z25" s="132"/>
      <c r="AA25" s="133"/>
      <c r="AB25" s="108"/>
      <c r="AC25" s="109"/>
      <c r="AD25" s="114"/>
      <c r="AE25" s="110"/>
      <c r="AF25" s="110"/>
      <c r="AG25" s="110"/>
      <c r="AH25" s="134"/>
      <c r="AI25" s="110"/>
      <c r="AJ25" s="109"/>
    </row>
    <row r="26" spans="1:28" ht="15.75" customHeight="1">
      <c r="A26" s="99"/>
      <c r="B26" s="135"/>
      <c r="C26" s="101" t="s">
        <v>42</v>
      </c>
      <c r="D26" s="136">
        <v>30.5</v>
      </c>
      <c r="E26" s="137"/>
      <c r="F26" s="138">
        <f>D30</f>
        <v>1.15</v>
      </c>
      <c r="G26" s="103" t="s">
        <v>11</v>
      </c>
      <c r="H26" s="103">
        <f>D31</f>
        <v>1.5</v>
      </c>
      <c r="I26" s="139" t="s">
        <v>11</v>
      </c>
      <c r="J26" s="140">
        <f>D32</f>
        <v>0.7</v>
      </c>
      <c r="K26" s="140" t="s">
        <v>11</v>
      </c>
      <c r="L26" s="476">
        <f>D33</f>
        <v>3.83</v>
      </c>
      <c r="M26" s="476"/>
      <c r="N26" s="476"/>
      <c r="O26" s="103"/>
      <c r="P26" s="140"/>
      <c r="Q26" s="139"/>
      <c r="R26" s="141"/>
      <c r="S26" s="119"/>
      <c r="T26" s="119"/>
      <c r="U26" s="119"/>
      <c r="V26" s="106"/>
      <c r="AA26" s="83"/>
      <c r="AB26" s="83"/>
    </row>
    <row r="27" spans="1:28" ht="15.75" customHeight="1">
      <c r="A27" s="99"/>
      <c r="B27" s="135"/>
      <c r="C27" s="101" t="s">
        <v>43</v>
      </c>
      <c r="D27" s="107">
        <v>0.88</v>
      </c>
      <c r="E27" s="137"/>
      <c r="F27" s="138"/>
      <c r="G27" s="142"/>
      <c r="H27" s="103"/>
      <c r="I27" s="143"/>
      <c r="J27" s="140"/>
      <c r="K27" s="140"/>
      <c r="L27" s="140"/>
      <c r="M27" s="103"/>
      <c r="N27" s="140"/>
      <c r="O27" s="103"/>
      <c r="P27" s="140"/>
      <c r="Q27" s="139"/>
      <c r="R27" s="141"/>
      <c r="S27" s="119"/>
      <c r="T27" s="119"/>
      <c r="U27" s="119"/>
      <c r="V27" s="106"/>
      <c r="AA27" s="83"/>
      <c r="AB27" s="83"/>
    </row>
    <row r="28" spans="1:28" ht="15.75" customHeight="1">
      <c r="A28" s="99"/>
      <c r="B28" s="135"/>
      <c r="C28" s="101" t="s">
        <v>44</v>
      </c>
      <c r="D28" s="101">
        <v>1.04</v>
      </c>
      <c r="E28" s="137"/>
      <c r="F28" s="138"/>
      <c r="G28" s="142"/>
      <c r="H28" s="103"/>
      <c r="I28" s="143"/>
      <c r="J28" s="140"/>
      <c r="K28" s="140"/>
      <c r="L28" s="140"/>
      <c r="M28" s="103"/>
      <c r="N28" s="140"/>
      <c r="O28" s="103"/>
      <c r="P28" s="140"/>
      <c r="Q28" s="139"/>
      <c r="R28" s="141"/>
      <c r="S28" s="119"/>
      <c r="T28" s="119"/>
      <c r="U28" s="119"/>
      <c r="V28" s="106"/>
      <c r="AA28" s="83"/>
      <c r="AB28" s="83"/>
    </row>
    <row r="29" spans="1:28" ht="15.75" customHeight="1">
      <c r="A29" s="99"/>
      <c r="B29" s="135"/>
      <c r="C29" s="101" t="s">
        <v>26</v>
      </c>
      <c r="D29" s="101">
        <v>1.1</v>
      </c>
      <c r="E29" s="144"/>
      <c r="F29" s="103"/>
      <c r="G29" s="103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5"/>
      <c r="S29" s="119"/>
      <c r="T29" s="119"/>
      <c r="U29" s="119"/>
      <c r="V29" s="106"/>
      <c r="AA29" s="83"/>
      <c r="AB29" s="83"/>
    </row>
    <row r="30" spans="1:28" ht="15.75" customHeight="1">
      <c r="A30" s="99"/>
      <c r="B30" s="135"/>
      <c r="C30" s="101" t="s">
        <v>45</v>
      </c>
      <c r="D30" s="101">
        <v>1.15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45"/>
      <c r="S30" s="119"/>
      <c r="T30" s="119"/>
      <c r="U30" s="119"/>
      <c r="V30" s="106"/>
      <c r="AA30" s="83"/>
      <c r="AB30" s="83"/>
    </row>
    <row r="31" spans="1:28" ht="15.75" customHeight="1">
      <c r="A31" s="99"/>
      <c r="B31" s="135"/>
      <c r="C31" s="101" t="s">
        <v>46</v>
      </c>
      <c r="D31" s="101">
        <v>1.5</v>
      </c>
      <c r="E31" s="144"/>
      <c r="F31" s="103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5"/>
      <c r="S31" s="119"/>
      <c r="T31" s="119"/>
      <c r="U31" s="119"/>
      <c r="V31" s="106"/>
      <c r="AA31" s="83"/>
      <c r="AB31" s="83"/>
    </row>
    <row r="32" spans="1:28" ht="15.75" customHeight="1">
      <c r="A32" s="99"/>
      <c r="B32" s="135"/>
      <c r="C32" s="101" t="s">
        <v>47</v>
      </c>
      <c r="D32" s="107">
        <v>0.7</v>
      </c>
      <c r="E32" s="144"/>
      <c r="F32" s="103"/>
      <c r="G32" s="103"/>
      <c r="H32" s="103"/>
      <c r="I32" s="104"/>
      <c r="J32" s="104"/>
      <c r="K32" s="104"/>
      <c r="L32" s="104"/>
      <c r="M32" s="104"/>
      <c r="N32" s="104"/>
      <c r="O32" s="104"/>
      <c r="P32" s="104"/>
      <c r="Q32" s="104"/>
      <c r="R32" s="145"/>
      <c r="S32" s="119"/>
      <c r="T32" s="119"/>
      <c r="U32" s="119"/>
      <c r="V32" s="106"/>
      <c r="AA32" s="83"/>
      <c r="AB32" s="83"/>
    </row>
    <row r="33" spans="1:28" ht="63" customHeight="1">
      <c r="A33" s="99"/>
      <c r="B33" s="146"/>
      <c r="C33" s="101" t="s">
        <v>238</v>
      </c>
      <c r="D33" s="147">
        <v>3.83</v>
      </c>
      <c r="E33" s="147"/>
      <c r="F33" s="118"/>
      <c r="G33" s="118"/>
      <c r="H33" s="118"/>
      <c r="I33" s="119"/>
      <c r="J33" s="119"/>
      <c r="K33" s="119"/>
      <c r="L33" s="119"/>
      <c r="M33" s="119"/>
      <c r="N33" s="119"/>
      <c r="O33" s="119"/>
      <c r="P33" s="119"/>
      <c r="Q33" s="119"/>
      <c r="R33" s="148"/>
      <c r="S33" s="119"/>
      <c r="T33" s="119"/>
      <c r="U33" s="119"/>
      <c r="V33" s="121"/>
      <c r="AA33" s="83"/>
      <c r="AB33" s="83"/>
    </row>
    <row r="34" spans="1:28" ht="14.25" customHeight="1">
      <c r="A34" s="32"/>
      <c r="B34" s="135"/>
      <c r="C34" s="477" t="s">
        <v>36</v>
      </c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9"/>
      <c r="V34" s="149">
        <f>V17+V25</f>
        <v>2759.01</v>
      </c>
      <c r="AA34" s="83"/>
      <c r="AB34" s="83"/>
    </row>
    <row r="35" spans="1:28" s="4" customFormat="1" ht="144.75" customHeight="1">
      <c r="A35" s="150" t="s">
        <v>12</v>
      </c>
      <c r="B35" s="151" t="s">
        <v>233</v>
      </c>
      <c r="C35" s="152" t="s">
        <v>51</v>
      </c>
      <c r="D35" s="153">
        <v>7</v>
      </c>
      <c r="E35" s="480">
        <f>V34</f>
        <v>2759.01</v>
      </c>
      <c r="F35" s="480"/>
      <c r="G35" s="154" t="s">
        <v>11</v>
      </c>
      <c r="H35" s="154">
        <f>D35/100</f>
        <v>0.07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55"/>
      <c r="S35" s="130"/>
      <c r="T35" s="130"/>
      <c r="U35" s="130"/>
      <c r="V35" s="156">
        <f>ROUND(E35*H35,2)</f>
        <v>193.13</v>
      </c>
      <c r="AA35" s="84"/>
      <c r="AB35" s="84"/>
    </row>
    <row r="36" spans="1:22" ht="13.5" customHeight="1">
      <c r="A36" s="157" t="s">
        <v>13</v>
      </c>
      <c r="B36" s="146"/>
      <c r="C36" s="470" t="s">
        <v>36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2"/>
      <c r="V36" s="158">
        <f>V34+V35</f>
        <v>2952.14</v>
      </c>
    </row>
    <row r="37" spans="1:22" ht="13.5" customHeight="1">
      <c r="A37" s="157" t="s">
        <v>20</v>
      </c>
      <c r="B37" s="159"/>
      <c r="C37" s="473" t="s">
        <v>34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5"/>
      <c r="V37" s="160">
        <f>V36*1000</f>
        <v>2952140</v>
      </c>
    </row>
    <row r="38" spans="1:28" ht="16.5" customHeight="1">
      <c r="A38" s="157" t="s">
        <v>27</v>
      </c>
      <c r="B38" s="468" t="s">
        <v>21</v>
      </c>
      <c r="C38" s="469"/>
      <c r="D38" s="22" t="s">
        <v>4</v>
      </c>
      <c r="E38" s="464">
        <f>V37</f>
        <v>2952140</v>
      </c>
      <c r="F38" s="465"/>
      <c r="G38" s="465"/>
      <c r="H38" s="465"/>
      <c r="I38" s="465"/>
      <c r="J38" s="465"/>
      <c r="K38" s="33" t="s">
        <v>11</v>
      </c>
      <c r="L38" s="33" t="str">
        <f>D38</f>
        <v>1</v>
      </c>
      <c r="M38" s="33"/>
      <c r="N38" s="33"/>
      <c r="O38" s="33"/>
      <c r="P38" s="33"/>
      <c r="Q38" s="33"/>
      <c r="R38" s="33"/>
      <c r="S38" s="33"/>
      <c r="T38" s="33"/>
      <c r="U38" s="33"/>
      <c r="V38" s="161">
        <f>ROUND(E38*L38,3)</f>
        <v>2952140</v>
      </c>
      <c r="Z38" s="461"/>
      <c r="AA38" s="461"/>
      <c r="AB38" s="461"/>
    </row>
    <row r="39" spans="1:27" ht="12.75">
      <c r="A39" s="162" t="s">
        <v>37</v>
      </c>
      <c r="B39" s="1"/>
      <c r="C39" s="2" t="s">
        <v>15</v>
      </c>
      <c r="D39" s="163">
        <v>0.2</v>
      </c>
      <c r="E39" s="21"/>
      <c r="F39" s="21"/>
      <c r="G39" s="21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5">
        <f>ROUND(V38*0.2,3)</f>
        <v>590428</v>
      </c>
      <c r="Z39" s="462"/>
      <c r="AA39" s="462"/>
    </row>
    <row r="40" spans="1:24" ht="19.5" customHeight="1">
      <c r="A40" s="23" t="s">
        <v>48</v>
      </c>
      <c r="B40" s="463" t="s">
        <v>244</v>
      </c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34"/>
      <c r="P40" s="15"/>
      <c r="Q40" s="15"/>
      <c r="R40" s="15"/>
      <c r="S40" s="15"/>
      <c r="T40" s="15"/>
      <c r="U40" s="15"/>
      <c r="V40" s="40">
        <f>ROUND((V38+V39),2)</f>
        <v>3542568</v>
      </c>
      <c r="X40" s="80">
        <f>Свод!F28</f>
        <v>4395250.65</v>
      </c>
    </row>
    <row r="41" spans="1:22" ht="13.5" customHeight="1">
      <c r="A41" s="32" t="s">
        <v>49</v>
      </c>
      <c r="B41" s="466" t="s">
        <v>28</v>
      </c>
      <c r="C41" s="467"/>
      <c r="D41" s="35" t="s">
        <v>29</v>
      </c>
      <c r="E41" s="497">
        <f>V40</f>
        <v>3542568</v>
      </c>
      <c r="F41" s="498"/>
      <c r="G41" s="498"/>
      <c r="H41" s="498"/>
      <c r="I41" s="498"/>
      <c r="J41" s="498"/>
      <c r="K41" s="38" t="s">
        <v>11</v>
      </c>
      <c r="L41" s="39" t="s">
        <v>30</v>
      </c>
      <c r="M41" s="39"/>
      <c r="N41" s="39"/>
      <c r="O41" s="39"/>
      <c r="P41" s="33"/>
      <c r="Q41" s="33"/>
      <c r="R41" s="33"/>
      <c r="S41" s="33"/>
      <c r="T41" s="33"/>
      <c r="U41" s="33"/>
      <c r="V41" s="40">
        <f>ROUND(E41*L41,2)</f>
        <v>1417027.2</v>
      </c>
    </row>
    <row r="42" spans="1:22" ht="12.75">
      <c r="A42" s="85"/>
      <c r="B42" s="495" t="s">
        <v>31</v>
      </c>
      <c r="C42" s="496"/>
      <c r="D42" s="22" t="s">
        <v>32</v>
      </c>
      <c r="E42" s="464">
        <f>V40</f>
        <v>3542568</v>
      </c>
      <c r="F42" s="465"/>
      <c r="G42" s="465"/>
      <c r="H42" s="465"/>
      <c r="I42" s="465"/>
      <c r="J42" s="465"/>
      <c r="K42" s="36" t="s">
        <v>11</v>
      </c>
      <c r="L42" s="33" t="s">
        <v>33</v>
      </c>
      <c r="M42" s="33"/>
      <c r="N42" s="33"/>
      <c r="O42" s="34"/>
      <c r="P42" s="37"/>
      <c r="Q42" s="37"/>
      <c r="R42" s="37"/>
      <c r="S42" s="37"/>
      <c r="T42" s="37"/>
      <c r="U42" s="37"/>
      <c r="V42" s="41">
        <f>ROUND(E42*L42,2)</f>
        <v>2125540.8</v>
      </c>
    </row>
    <row r="44" spans="2:8" ht="12.75">
      <c r="B44" s="15"/>
      <c r="C44" s="15"/>
      <c r="H44" s="15"/>
    </row>
    <row r="45" spans="2:7" ht="12.75">
      <c r="B45" s="166" t="s">
        <v>234</v>
      </c>
      <c r="C45" s="167"/>
      <c r="G45" s="167"/>
    </row>
    <row r="46" spans="2:7" ht="12.75">
      <c r="B46" s="167"/>
      <c r="C46" s="167"/>
      <c r="G46" s="167"/>
    </row>
    <row r="47" spans="2:7" ht="12.75">
      <c r="B47" s="167"/>
      <c r="C47" s="167"/>
      <c r="G47" s="167"/>
    </row>
    <row r="48" spans="2:7" ht="12.75">
      <c r="B48" s="168"/>
      <c r="C48" s="167"/>
      <c r="G48" s="167"/>
    </row>
  </sheetData>
  <sheetProtection/>
  <mergeCells count="37">
    <mergeCell ref="E1:V1"/>
    <mergeCell ref="E2:V2"/>
    <mergeCell ref="E3:V3"/>
    <mergeCell ref="E4:V4"/>
    <mergeCell ref="E5:V5"/>
    <mergeCell ref="A12:F12"/>
    <mergeCell ref="A13:F13"/>
    <mergeCell ref="A11:V11"/>
    <mergeCell ref="A8:V8"/>
    <mergeCell ref="A9:V9"/>
    <mergeCell ref="E6:F6"/>
    <mergeCell ref="B42:C42"/>
    <mergeCell ref="E41:J41"/>
    <mergeCell ref="E42:J42"/>
    <mergeCell ref="C15:D15"/>
    <mergeCell ref="E15:U15"/>
    <mergeCell ref="C16:D16"/>
    <mergeCell ref="E16:U16"/>
    <mergeCell ref="C17:D17"/>
    <mergeCell ref="L19:M19"/>
    <mergeCell ref="C25:D25"/>
    <mergeCell ref="AA24:AB24"/>
    <mergeCell ref="B21:C21"/>
    <mergeCell ref="B22:C22"/>
    <mergeCell ref="B23:C23"/>
    <mergeCell ref="C36:U36"/>
    <mergeCell ref="C37:U37"/>
    <mergeCell ref="L26:N26"/>
    <mergeCell ref="C34:U34"/>
    <mergeCell ref="E35:F35"/>
    <mergeCell ref="B24:C24"/>
    <mergeCell ref="Z38:AB38"/>
    <mergeCell ref="Z39:AA39"/>
    <mergeCell ref="B40:N40"/>
    <mergeCell ref="E38:J38"/>
    <mergeCell ref="B41:C41"/>
    <mergeCell ref="B38:C38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115" zoomScaleSheetLayoutView="115" zoomScalePageLayoutView="0" workbookViewId="0" topLeftCell="A1">
      <selection activeCell="A11" sqref="A11:N11"/>
    </sheetView>
  </sheetViews>
  <sheetFormatPr defaultColWidth="9.00390625" defaultRowHeight="12.75"/>
  <cols>
    <col min="1" max="1" width="4.00390625" style="3" customWidth="1"/>
    <col min="2" max="2" width="35.25390625" style="3" customWidth="1"/>
    <col min="3" max="3" width="7.375" style="3" customWidth="1"/>
    <col min="4" max="4" width="14.875" style="3" customWidth="1"/>
    <col min="5" max="5" width="6.25390625" style="3" customWidth="1"/>
    <col min="6" max="6" width="2.25390625" style="3" customWidth="1"/>
    <col min="7" max="7" width="5.375" style="3" customWidth="1"/>
    <col min="8" max="8" width="2.625" style="3" customWidth="1"/>
    <col min="9" max="9" width="5.00390625" style="3" customWidth="1"/>
    <col min="10" max="10" width="1.625" style="3" customWidth="1"/>
    <col min="11" max="11" width="5.25390625" style="3" customWidth="1"/>
    <col min="12" max="12" width="1.25" style="3" customWidth="1"/>
    <col min="13" max="13" width="4.125" style="3" customWidth="1"/>
    <col min="14" max="14" width="12.375" style="3" customWidth="1"/>
    <col min="15" max="16384" width="9.125" style="3" customWidth="1"/>
  </cols>
  <sheetData>
    <row r="1" spans="1:14" ht="12.7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5" customHeight="1">
      <c r="A2" s="229"/>
      <c r="B2" s="229"/>
      <c r="C2" s="229"/>
      <c r="D2" s="229"/>
      <c r="E2" s="254"/>
      <c r="F2" s="254"/>
      <c r="G2" s="460" t="s">
        <v>94</v>
      </c>
      <c r="H2" s="460"/>
      <c r="I2" s="460"/>
      <c r="J2" s="460"/>
      <c r="K2" s="460"/>
      <c r="L2" s="460"/>
      <c r="M2" s="460"/>
      <c r="N2" s="460"/>
    </row>
    <row r="3" spans="1:14" ht="15" customHeight="1">
      <c r="A3" s="539"/>
      <c r="B3" s="539"/>
      <c r="C3" s="248"/>
      <c r="D3" s="248"/>
      <c r="E3" s="253"/>
      <c r="F3" s="253"/>
      <c r="G3" s="459" t="s">
        <v>257</v>
      </c>
      <c r="H3" s="459"/>
      <c r="I3" s="459"/>
      <c r="J3" s="459"/>
      <c r="K3" s="459"/>
      <c r="L3" s="459"/>
      <c r="M3" s="459"/>
      <c r="N3" s="459"/>
    </row>
    <row r="4" spans="1:14" ht="15" customHeight="1">
      <c r="A4" s="529"/>
      <c r="B4" s="529"/>
      <c r="C4" s="529"/>
      <c r="D4" s="248"/>
      <c r="E4" s="252"/>
      <c r="F4" s="252"/>
      <c r="G4" s="459" t="s">
        <v>236</v>
      </c>
      <c r="H4" s="459"/>
      <c r="I4" s="459"/>
      <c r="J4" s="459"/>
      <c r="K4" s="459"/>
      <c r="L4" s="459"/>
      <c r="M4" s="459"/>
      <c r="N4" s="459"/>
    </row>
    <row r="5" spans="1:14" ht="19.5" customHeight="1">
      <c r="A5" s="539"/>
      <c r="B5" s="539"/>
      <c r="C5" s="248"/>
      <c r="D5" s="248"/>
      <c r="E5" s="250"/>
      <c r="F5" s="250"/>
      <c r="G5" s="459" t="s">
        <v>260</v>
      </c>
      <c r="H5" s="459"/>
      <c r="I5" s="459"/>
      <c r="J5" s="459"/>
      <c r="K5" s="459"/>
      <c r="L5" s="459"/>
      <c r="M5" s="459"/>
      <c r="N5" s="459"/>
    </row>
    <row r="6" spans="1:14" ht="19.5" customHeight="1">
      <c r="A6" s="529"/>
      <c r="B6" s="529"/>
      <c r="C6" s="248"/>
      <c r="D6" s="248"/>
      <c r="E6" s="247"/>
      <c r="F6" s="247"/>
      <c r="G6" s="459" t="s">
        <v>235</v>
      </c>
      <c r="H6" s="459"/>
      <c r="I6" s="459"/>
      <c r="J6" s="459"/>
      <c r="K6" s="459"/>
      <c r="L6" s="459"/>
      <c r="M6" s="459"/>
      <c r="N6" s="459"/>
    </row>
    <row r="7" spans="1:14" ht="12.75">
      <c r="A7" s="249"/>
      <c r="B7" s="249"/>
      <c r="C7" s="248"/>
      <c r="D7" s="248"/>
      <c r="E7" s="247"/>
      <c r="F7" s="247"/>
      <c r="G7" s="31"/>
      <c r="H7" s="31"/>
      <c r="I7" s="247"/>
      <c r="J7" s="247"/>
      <c r="K7" s="247"/>
      <c r="L7" s="247"/>
      <c r="M7" s="247"/>
      <c r="N7" s="247"/>
    </row>
    <row r="8" spans="1:14" ht="12.75">
      <c r="A8" s="229"/>
      <c r="B8" s="530" t="s">
        <v>52</v>
      </c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246"/>
    </row>
    <row r="9" spans="1:14" ht="12.75">
      <c r="A9" s="229"/>
      <c r="B9" s="531" t="s">
        <v>124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229"/>
    </row>
    <row r="10" spans="1:14" ht="12.75">
      <c r="A10" s="229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29"/>
    </row>
    <row r="11" spans="1:14" ht="12.75">
      <c r="A11" s="532" t="s">
        <v>266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</row>
    <row r="12" spans="1:14" ht="12.75">
      <c r="A12" s="532" t="s">
        <v>92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</row>
    <row r="13" spans="1:14" ht="12.75">
      <c r="A13" s="532" t="s">
        <v>237</v>
      </c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</row>
    <row r="14" spans="1:14" ht="12.75">
      <c r="A14" s="244" t="s">
        <v>50</v>
      </c>
      <c r="B14" s="533" t="s">
        <v>123</v>
      </c>
      <c r="C14" s="533"/>
      <c r="D14" s="533"/>
      <c r="E14" s="533"/>
      <c r="F14" s="533"/>
      <c r="G14" s="533"/>
      <c r="H14" s="533"/>
      <c r="I14" s="533"/>
      <c r="J14" s="533"/>
      <c r="K14" s="533"/>
      <c r="L14" s="244"/>
      <c r="M14" s="244"/>
      <c r="N14" s="244"/>
    </row>
    <row r="15" spans="1:14" ht="12.75">
      <c r="A15" s="534" t="s">
        <v>122</v>
      </c>
      <c r="B15" s="534" t="s">
        <v>53</v>
      </c>
      <c r="C15" s="534" t="s">
        <v>54</v>
      </c>
      <c r="D15" s="534" t="s">
        <v>55</v>
      </c>
      <c r="E15" s="535" t="s">
        <v>56</v>
      </c>
      <c r="F15" s="536"/>
      <c r="G15" s="536"/>
      <c r="H15" s="536"/>
      <c r="I15" s="536"/>
      <c r="J15" s="536"/>
      <c r="K15" s="536"/>
      <c r="L15" s="536"/>
      <c r="M15" s="536"/>
      <c r="N15" s="513" t="s">
        <v>121</v>
      </c>
    </row>
    <row r="16" spans="1:14" ht="12.75">
      <c r="A16" s="534"/>
      <c r="B16" s="534"/>
      <c r="C16" s="534"/>
      <c r="D16" s="534"/>
      <c r="E16" s="537"/>
      <c r="F16" s="538"/>
      <c r="G16" s="538"/>
      <c r="H16" s="538"/>
      <c r="I16" s="538"/>
      <c r="J16" s="538"/>
      <c r="K16" s="538"/>
      <c r="L16" s="538"/>
      <c r="M16" s="538"/>
      <c r="N16" s="514"/>
    </row>
    <row r="17" spans="1:14" ht="12.75">
      <c r="A17" s="241">
        <v>1</v>
      </c>
      <c r="B17" s="241">
        <v>2</v>
      </c>
      <c r="C17" s="241">
        <v>3</v>
      </c>
      <c r="D17" s="241">
        <v>4</v>
      </c>
      <c r="E17" s="515">
        <v>5</v>
      </c>
      <c r="F17" s="516"/>
      <c r="G17" s="516"/>
      <c r="H17" s="516"/>
      <c r="I17" s="516"/>
      <c r="J17" s="516"/>
      <c r="K17" s="516"/>
      <c r="L17" s="516"/>
      <c r="M17" s="516"/>
      <c r="N17" s="238">
        <v>6</v>
      </c>
    </row>
    <row r="18" spans="1:14" ht="12.75">
      <c r="A18" s="242"/>
      <c r="B18" s="242" t="s">
        <v>57</v>
      </c>
      <c r="C18" s="241"/>
      <c r="D18" s="240"/>
      <c r="E18" s="239"/>
      <c r="F18" s="239"/>
      <c r="G18" s="239"/>
      <c r="H18" s="239"/>
      <c r="I18" s="239"/>
      <c r="J18" s="239"/>
      <c r="K18" s="239"/>
      <c r="L18" s="239"/>
      <c r="M18" s="239"/>
      <c r="N18" s="238"/>
    </row>
    <row r="19" spans="1:14" ht="12.75">
      <c r="A19" s="236"/>
      <c r="B19" s="235" t="s">
        <v>120</v>
      </c>
      <c r="C19" s="234">
        <v>0.2</v>
      </c>
      <c r="D19" s="237"/>
      <c r="E19" s="232"/>
      <c r="F19" s="232"/>
      <c r="G19" s="232"/>
      <c r="H19" s="232"/>
      <c r="I19" s="232"/>
      <c r="J19" s="232"/>
      <c r="K19" s="232"/>
      <c r="L19" s="232"/>
      <c r="M19" s="232"/>
      <c r="N19" s="231"/>
    </row>
    <row r="20" spans="1:14" ht="12.75">
      <c r="A20" s="236"/>
      <c r="B20" s="235"/>
      <c r="C20" s="234"/>
      <c r="D20" s="233"/>
      <c r="E20" s="232"/>
      <c r="F20" s="232"/>
      <c r="G20" s="232"/>
      <c r="H20" s="232"/>
      <c r="I20" s="232"/>
      <c r="J20" s="232"/>
      <c r="K20" s="232"/>
      <c r="L20" s="232"/>
      <c r="M20" s="232"/>
      <c r="N20" s="231"/>
    </row>
    <row r="21" spans="1:14" ht="12.75">
      <c r="A21" s="517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9"/>
    </row>
    <row r="22" spans="1:14" ht="12.75">
      <c r="A22" s="520">
        <v>1</v>
      </c>
      <c r="B22" s="522" t="s">
        <v>119</v>
      </c>
      <c r="C22" s="223"/>
      <c r="D22" s="524" t="s">
        <v>118</v>
      </c>
      <c r="E22" s="525" t="s">
        <v>117</v>
      </c>
      <c r="F22" s="526"/>
      <c r="G22" s="526"/>
      <c r="H22" s="526"/>
      <c r="I22" s="526"/>
      <c r="J22" s="526"/>
      <c r="K22" s="526"/>
      <c r="L22" s="526"/>
      <c r="M22" s="526"/>
      <c r="N22" s="230"/>
    </row>
    <row r="23" spans="1:14" ht="12.75">
      <c r="A23" s="521"/>
      <c r="B23" s="523"/>
      <c r="C23" s="223"/>
      <c r="D23" s="524"/>
      <c r="E23" s="222">
        <v>3284</v>
      </c>
      <c r="F23" s="221" t="s">
        <v>101</v>
      </c>
      <c r="G23" s="225">
        <f>C19</f>
        <v>0.2</v>
      </c>
      <c r="H23" s="221" t="s">
        <v>101</v>
      </c>
      <c r="I23" s="221">
        <f>C27</f>
        <v>1.1</v>
      </c>
      <c r="J23" s="221" t="s">
        <v>101</v>
      </c>
      <c r="K23" s="229">
        <f>C26</f>
        <v>1.55</v>
      </c>
      <c r="L23" s="221"/>
      <c r="M23" s="229"/>
      <c r="N23" s="211">
        <f>E23*I23*G23*K23</f>
        <v>1119.84</v>
      </c>
    </row>
    <row r="24" spans="1:14" ht="12.75">
      <c r="A24" s="521"/>
      <c r="B24" s="523"/>
      <c r="C24" s="223"/>
      <c r="D24" s="524"/>
      <c r="E24" s="228"/>
      <c r="F24" s="227"/>
      <c r="G24" s="227"/>
      <c r="H24" s="227"/>
      <c r="I24" s="227"/>
      <c r="J24" s="227"/>
      <c r="K24" s="227"/>
      <c r="L24" s="227"/>
      <c r="M24" s="227"/>
      <c r="N24" s="220"/>
    </row>
    <row r="25" spans="1:14" ht="12.75">
      <c r="A25" s="521"/>
      <c r="B25" s="226" t="s">
        <v>116</v>
      </c>
      <c r="C25" s="223"/>
      <c r="D25" s="524"/>
      <c r="E25" s="222"/>
      <c r="F25" s="221"/>
      <c r="G25" s="221"/>
      <c r="H25" s="221"/>
      <c r="I25" s="221"/>
      <c r="J25" s="221"/>
      <c r="K25" s="221"/>
      <c r="L25" s="221"/>
      <c r="M25" s="221"/>
      <c r="N25" s="220"/>
    </row>
    <row r="26" spans="1:14" ht="12.75">
      <c r="A26" s="521"/>
      <c r="B26" s="226" t="s">
        <v>115</v>
      </c>
      <c r="C26" s="223">
        <v>1.55</v>
      </c>
      <c r="D26" s="524"/>
      <c r="E26" s="527" t="s">
        <v>114</v>
      </c>
      <c r="F26" s="528"/>
      <c r="G26" s="528"/>
      <c r="H26" s="528"/>
      <c r="I26" s="528"/>
      <c r="J26" s="528"/>
      <c r="K26" s="528"/>
      <c r="L26" s="528"/>
      <c r="M26" s="528"/>
      <c r="N26" s="220"/>
    </row>
    <row r="27" spans="1:14" ht="12.75">
      <c r="A27" s="521"/>
      <c r="B27" s="226" t="s">
        <v>113</v>
      </c>
      <c r="C27" s="223">
        <v>1.1</v>
      </c>
      <c r="D27" s="524"/>
      <c r="E27" s="222">
        <v>1067</v>
      </c>
      <c r="F27" s="221" t="s">
        <v>101</v>
      </c>
      <c r="G27" s="225">
        <f>G23</f>
        <v>0.2</v>
      </c>
      <c r="H27" s="221" t="s">
        <v>101</v>
      </c>
      <c r="I27" s="221">
        <f>C28</f>
        <v>1.2</v>
      </c>
      <c r="J27" s="221"/>
      <c r="K27" s="221"/>
      <c r="L27" s="221"/>
      <c r="M27" s="221"/>
      <c r="N27" s="211">
        <f>E27*I27*G27</f>
        <v>256.08</v>
      </c>
    </row>
    <row r="28" spans="1:14" ht="12.75">
      <c r="A28" s="521"/>
      <c r="B28" s="226" t="s">
        <v>112</v>
      </c>
      <c r="C28" s="223">
        <v>1.2</v>
      </c>
      <c r="D28" s="524"/>
      <c r="E28" s="222"/>
      <c r="F28" s="221"/>
      <c r="G28" s="225"/>
      <c r="H28" s="221"/>
      <c r="I28" s="221"/>
      <c r="J28" s="221"/>
      <c r="K28" s="221"/>
      <c r="L28" s="221"/>
      <c r="M28" s="221"/>
      <c r="N28" s="211"/>
    </row>
    <row r="29" spans="1:14" ht="12.75">
      <c r="A29" s="521"/>
      <c r="B29" s="224"/>
      <c r="C29" s="223"/>
      <c r="D29" s="524"/>
      <c r="E29" s="222"/>
      <c r="F29" s="221"/>
      <c r="G29" s="221"/>
      <c r="H29" s="221"/>
      <c r="I29" s="221"/>
      <c r="J29" s="221"/>
      <c r="K29" s="221"/>
      <c r="L29" s="221"/>
      <c r="M29" s="221"/>
      <c r="N29" s="220"/>
    </row>
    <row r="30" spans="1:14" ht="12.75">
      <c r="A30" s="197"/>
      <c r="B30" s="219"/>
      <c r="C30" s="219"/>
      <c r="D30" s="218"/>
      <c r="E30" s="188"/>
      <c r="F30" s="188"/>
      <c r="G30" s="188"/>
      <c r="H30" s="188"/>
      <c r="I30" s="188"/>
      <c r="J30" s="188"/>
      <c r="K30" s="188"/>
      <c r="L30" s="188"/>
      <c r="M30" s="192" t="s">
        <v>111</v>
      </c>
      <c r="N30" s="217">
        <f>N31+N32</f>
        <v>1375.92</v>
      </c>
    </row>
    <row r="31" spans="1:14" ht="12.75">
      <c r="A31" s="216"/>
      <c r="B31" s="215"/>
      <c r="C31" s="215"/>
      <c r="D31" s="214"/>
      <c r="E31" s="213"/>
      <c r="F31" s="213"/>
      <c r="G31" s="213"/>
      <c r="H31" s="213"/>
      <c r="I31" s="213"/>
      <c r="J31" s="213"/>
      <c r="K31" s="213"/>
      <c r="L31" s="213"/>
      <c r="M31" s="212" t="s">
        <v>110</v>
      </c>
      <c r="N31" s="211">
        <f>N23</f>
        <v>1119.84</v>
      </c>
    </row>
    <row r="32" spans="1:14" ht="12.75">
      <c r="A32" s="201"/>
      <c r="B32" s="210"/>
      <c r="C32" s="210"/>
      <c r="D32" s="209"/>
      <c r="E32" s="208"/>
      <c r="F32" s="208"/>
      <c r="G32" s="208"/>
      <c r="H32" s="208"/>
      <c r="I32" s="208"/>
      <c r="J32" s="208"/>
      <c r="K32" s="208"/>
      <c r="L32" s="208"/>
      <c r="M32" s="207" t="s">
        <v>109</v>
      </c>
      <c r="N32" s="206">
        <f>N27</f>
        <v>256.08</v>
      </c>
    </row>
    <row r="33" spans="1:14" ht="38.25">
      <c r="A33" s="201">
        <v>4</v>
      </c>
      <c r="B33" s="204" t="s">
        <v>108</v>
      </c>
      <c r="C33" s="205">
        <v>0.0375</v>
      </c>
      <c r="D33" s="204" t="s">
        <v>107</v>
      </c>
      <c r="E33" s="195">
        <v>3.75</v>
      </c>
      <c r="F33" s="177" t="s">
        <v>104</v>
      </c>
      <c r="G33" s="177" t="s">
        <v>103</v>
      </c>
      <c r="H33" s="506">
        <f>N31</f>
        <v>1120</v>
      </c>
      <c r="I33" s="507"/>
      <c r="J33" s="177"/>
      <c r="K33" s="203"/>
      <c r="L33" s="177"/>
      <c r="M33" s="202"/>
      <c r="N33" s="175">
        <f>(H33)*E33/100</f>
        <v>42</v>
      </c>
    </row>
    <row r="34" spans="1:14" ht="38.25">
      <c r="A34" s="201">
        <v>5</v>
      </c>
      <c r="B34" s="200" t="s">
        <v>106</v>
      </c>
      <c r="C34" s="199">
        <v>0.06</v>
      </c>
      <c r="D34" s="198" t="s">
        <v>105</v>
      </c>
      <c r="E34" s="197">
        <v>6</v>
      </c>
      <c r="F34" s="188" t="s">
        <v>104</v>
      </c>
      <c r="G34" s="188" t="s">
        <v>103</v>
      </c>
      <c r="H34" s="506">
        <f>N31+N33</f>
        <v>1162</v>
      </c>
      <c r="I34" s="507"/>
      <c r="J34" s="188"/>
      <c r="K34" s="196"/>
      <c r="L34" s="188"/>
      <c r="M34" s="196"/>
      <c r="N34" s="175">
        <f>(H34)*E34/100</f>
        <v>69.72</v>
      </c>
    </row>
    <row r="35" spans="1:14" ht="12.75">
      <c r="A35" s="195"/>
      <c r="B35" s="194"/>
      <c r="C35" s="194"/>
      <c r="D35" s="193"/>
      <c r="E35" s="188"/>
      <c r="F35" s="188"/>
      <c r="G35" s="188"/>
      <c r="H35" s="188"/>
      <c r="I35" s="188"/>
      <c r="J35" s="188"/>
      <c r="K35" s="188"/>
      <c r="L35" s="188"/>
      <c r="M35" s="192" t="s">
        <v>58</v>
      </c>
      <c r="N35" s="175">
        <f>N30+N33+N34</f>
        <v>1487.64</v>
      </c>
    </row>
    <row r="36" spans="1:14" ht="63.75">
      <c r="A36" s="191">
        <v>6</v>
      </c>
      <c r="B36" s="508" t="s">
        <v>102</v>
      </c>
      <c r="C36" s="509"/>
      <c r="D36" s="190" t="s">
        <v>241</v>
      </c>
      <c r="E36" s="510">
        <f>N35</f>
        <v>1487.64</v>
      </c>
      <c r="F36" s="511"/>
      <c r="G36" s="512"/>
      <c r="H36" s="188"/>
      <c r="I36" s="188"/>
      <c r="J36" s="188" t="s">
        <v>101</v>
      </c>
      <c r="K36" s="189">
        <v>3.91</v>
      </c>
      <c r="L36" s="188"/>
      <c r="M36" s="188"/>
      <c r="N36" s="175">
        <f>E36*K36</f>
        <v>5816.67</v>
      </c>
    </row>
    <row r="37" spans="1:14" ht="12.75">
      <c r="A37" s="500"/>
      <c r="B37" s="501"/>
      <c r="C37" s="501"/>
      <c r="D37" s="501"/>
      <c r="E37" s="501"/>
      <c r="F37" s="176"/>
      <c r="G37" s="178"/>
      <c r="H37" s="177"/>
      <c r="I37" s="502" t="s">
        <v>100</v>
      </c>
      <c r="J37" s="502"/>
      <c r="K37" s="502"/>
      <c r="L37" s="502"/>
      <c r="M37" s="503"/>
      <c r="N37" s="175">
        <f>N36</f>
        <v>5816.67</v>
      </c>
    </row>
    <row r="38" spans="1:14" ht="12.75">
      <c r="A38" s="187"/>
      <c r="B38" s="186" t="s">
        <v>21</v>
      </c>
      <c r="C38" s="185"/>
      <c r="D38" s="184">
        <v>1</v>
      </c>
      <c r="E38" s="183"/>
      <c r="F38" s="182"/>
      <c r="G38" s="182"/>
      <c r="H38" s="181"/>
      <c r="I38" s="181"/>
      <c r="J38" s="181"/>
      <c r="K38" s="181"/>
      <c r="L38" s="181"/>
      <c r="M38" s="180"/>
      <c r="N38" s="179">
        <f>ROUND(N37*D38,2)</f>
        <v>5816.67</v>
      </c>
    </row>
    <row r="39" spans="1:14" ht="12.75">
      <c r="A39" s="500"/>
      <c r="B39" s="501"/>
      <c r="C39" s="501"/>
      <c r="D39" s="501"/>
      <c r="E39" s="501"/>
      <c r="F39" s="176"/>
      <c r="G39" s="178"/>
      <c r="H39" s="177"/>
      <c r="I39" s="502" t="s">
        <v>242</v>
      </c>
      <c r="J39" s="502"/>
      <c r="K39" s="502"/>
      <c r="L39" s="502"/>
      <c r="M39" s="503"/>
      <c r="N39" s="175">
        <f>N38*20%</f>
        <v>1163.33</v>
      </c>
    </row>
    <row r="40" spans="1:14" ht="12.75">
      <c r="A40" s="500"/>
      <c r="B40" s="501"/>
      <c r="C40" s="501"/>
      <c r="D40" s="501"/>
      <c r="E40" s="501"/>
      <c r="F40" s="176"/>
      <c r="G40" s="504" t="s">
        <v>99</v>
      </c>
      <c r="H40" s="504"/>
      <c r="I40" s="504"/>
      <c r="J40" s="504"/>
      <c r="K40" s="504"/>
      <c r="L40" s="504"/>
      <c r="M40" s="505"/>
      <c r="N40" s="175">
        <f>N38+N39</f>
        <v>6980</v>
      </c>
    </row>
    <row r="41" spans="1:14" ht="12.75">
      <c r="A41" s="174"/>
      <c r="B41" s="173" t="s">
        <v>243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2"/>
      <c r="N41" s="171">
        <f>N40</f>
        <v>6980</v>
      </c>
    </row>
    <row r="45" spans="2:4" ht="12.75">
      <c r="B45" s="166" t="s">
        <v>93</v>
      </c>
      <c r="C45" s="167"/>
      <c r="D45" s="167"/>
    </row>
    <row r="46" spans="2:4" ht="12.75">
      <c r="B46" s="167"/>
      <c r="C46" s="167"/>
      <c r="D46" s="167"/>
    </row>
    <row r="47" spans="2:4" ht="12.75">
      <c r="B47" s="167"/>
      <c r="C47" s="167"/>
      <c r="D47" s="167"/>
    </row>
    <row r="48" spans="2:4" ht="12.75">
      <c r="B48" s="168"/>
      <c r="C48" s="167"/>
      <c r="D48" s="167"/>
    </row>
  </sheetData>
  <sheetProtection/>
  <mergeCells count="38">
    <mergeCell ref="A12:N12"/>
    <mergeCell ref="A13:N13"/>
    <mergeCell ref="G2:N2"/>
    <mergeCell ref="G3:N3"/>
    <mergeCell ref="G4:N4"/>
    <mergeCell ref="G5:N5"/>
    <mergeCell ref="G6:N6"/>
    <mergeCell ref="A3:B3"/>
    <mergeCell ref="A4:C4"/>
    <mergeCell ref="A5:B5"/>
    <mergeCell ref="A6:B6"/>
    <mergeCell ref="B8:M8"/>
    <mergeCell ref="B9:M9"/>
    <mergeCell ref="A11:N11"/>
    <mergeCell ref="B14:K14"/>
    <mergeCell ref="A15:A16"/>
    <mergeCell ref="B15:B16"/>
    <mergeCell ref="C15:C16"/>
    <mergeCell ref="D15:D16"/>
    <mergeCell ref="E15:M16"/>
    <mergeCell ref="N15:N16"/>
    <mergeCell ref="E17:M17"/>
    <mergeCell ref="A21:N21"/>
    <mergeCell ref="A22:A29"/>
    <mergeCell ref="B22:B24"/>
    <mergeCell ref="D22:D29"/>
    <mergeCell ref="E22:M22"/>
    <mergeCell ref="E26:M26"/>
    <mergeCell ref="A39:E39"/>
    <mergeCell ref="I39:M39"/>
    <mergeCell ref="A40:E40"/>
    <mergeCell ref="G40:M40"/>
    <mergeCell ref="H33:I33"/>
    <mergeCell ref="H34:I34"/>
    <mergeCell ref="B36:C36"/>
    <mergeCell ref="E36:G36"/>
    <mergeCell ref="A37:E37"/>
    <mergeCell ref="I37:M3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view="pageBreakPreview" zoomScaleSheetLayoutView="100" zoomScalePageLayoutView="0" workbookViewId="0" topLeftCell="A1">
      <selection activeCell="A11" sqref="A11:N11"/>
    </sheetView>
  </sheetViews>
  <sheetFormatPr defaultColWidth="9.00390625" defaultRowHeight="12.75"/>
  <cols>
    <col min="1" max="1" width="4.375" style="3" customWidth="1"/>
    <col min="2" max="2" width="39.00390625" style="3" customWidth="1"/>
    <col min="3" max="3" width="14.00390625" style="3" customWidth="1"/>
    <col min="4" max="4" width="14.75390625" style="3" customWidth="1"/>
    <col min="5" max="5" width="5.125" style="3" customWidth="1"/>
    <col min="6" max="6" width="1.75390625" style="3" customWidth="1"/>
    <col min="7" max="7" width="5.125" style="3" customWidth="1"/>
    <col min="8" max="8" width="2.125" style="3" customWidth="1"/>
    <col min="9" max="9" width="6.25390625" style="3" customWidth="1"/>
    <col min="10" max="10" width="1.75390625" style="3" customWidth="1"/>
    <col min="11" max="11" width="3.125" style="3" customWidth="1"/>
    <col min="12" max="12" width="1.37890625" style="3" customWidth="1"/>
    <col min="13" max="13" width="11.125" style="3" customWidth="1"/>
    <col min="14" max="14" width="14.00390625" style="3" customWidth="1"/>
    <col min="15" max="16384" width="9.125" style="3" customWidth="1"/>
  </cols>
  <sheetData>
    <row r="1" spans="1:14" ht="12.75">
      <c r="A1" s="36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5" customHeight="1">
      <c r="A2" s="368"/>
      <c r="B2" s="229"/>
      <c r="C2" s="229"/>
      <c r="D2" s="229"/>
      <c r="E2" s="229"/>
      <c r="F2" s="229"/>
      <c r="G2" s="229"/>
      <c r="H2" s="229"/>
      <c r="I2" s="574" t="s">
        <v>94</v>
      </c>
      <c r="J2" s="574"/>
      <c r="K2" s="574"/>
      <c r="L2" s="574"/>
      <c r="M2" s="574"/>
      <c r="N2" s="574"/>
    </row>
    <row r="3" spans="1:14" ht="15" customHeight="1">
      <c r="A3" s="539"/>
      <c r="B3" s="539"/>
      <c r="C3" s="248"/>
      <c r="D3" s="248"/>
      <c r="E3" s="253"/>
      <c r="F3" s="253"/>
      <c r="G3" s="229"/>
      <c r="H3" s="229"/>
      <c r="I3" s="575" t="s">
        <v>257</v>
      </c>
      <c r="J3" s="575"/>
      <c r="K3" s="575"/>
      <c r="L3" s="575"/>
      <c r="M3" s="575"/>
      <c r="N3" s="575"/>
    </row>
    <row r="4" spans="1:14" ht="15" customHeight="1">
      <c r="A4" s="529"/>
      <c r="B4" s="529"/>
      <c r="C4" s="529"/>
      <c r="D4" s="248"/>
      <c r="E4" s="252"/>
      <c r="F4" s="252"/>
      <c r="G4" s="252"/>
      <c r="H4" s="252"/>
      <c r="I4" s="575" t="s">
        <v>95</v>
      </c>
      <c r="J4" s="575"/>
      <c r="K4" s="575"/>
      <c r="L4" s="575"/>
      <c r="M4" s="575"/>
      <c r="N4" s="575"/>
    </row>
    <row r="5" spans="1:14" ht="19.5" customHeight="1">
      <c r="A5" s="539"/>
      <c r="B5" s="539"/>
      <c r="C5" s="248"/>
      <c r="D5" s="248"/>
      <c r="E5" s="250"/>
      <c r="F5" s="250"/>
      <c r="G5" s="250"/>
      <c r="H5" s="250"/>
      <c r="I5" s="575" t="s">
        <v>261</v>
      </c>
      <c r="J5" s="575"/>
      <c r="K5" s="575"/>
      <c r="L5" s="575"/>
      <c r="M5" s="575"/>
      <c r="N5" s="575"/>
    </row>
    <row r="6" spans="1:14" ht="19.5" customHeight="1">
      <c r="A6" s="539"/>
      <c r="B6" s="539"/>
      <c r="C6" s="368"/>
      <c r="D6" s="368"/>
      <c r="E6" s="250"/>
      <c r="F6" s="250"/>
      <c r="G6" s="250"/>
      <c r="H6" s="250"/>
      <c r="I6" s="539" t="s">
        <v>235</v>
      </c>
      <c r="J6" s="539"/>
      <c r="K6" s="539"/>
      <c r="L6" s="539"/>
      <c r="M6" s="539"/>
      <c r="N6" s="539"/>
    </row>
    <row r="7" spans="1:14" ht="19.5" customHeight="1">
      <c r="A7" s="251"/>
      <c r="B7" s="251"/>
      <c r="C7" s="368"/>
      <c r="D7" s="368"/>
      <c r="E7" s="250"/>
      <c r="F7" s="250"/>
      <c r="G7" s="250"/>
      <c r="H7" s="250"/>
      <c r="I7" s="251"/>
      <c r="J7" s="251"/>
      <c r="K7" s="251"/>
      <c r="L7" s="251"/>
      <c r="M7" s="251"/>
      <c r="N7" s="251"/>
    </row>
    <row r="8" spans="1:14" ht="12.75">
      <c r="A8" s="573" t="s">
        <v>228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</row>
    <row r="9" spans="1:14" ht="12.75">
      <c r="A9" s="573" t="s">
        <v>179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</row>
    <row r="10" spans="1:14" ht="12.75">
      <c r="A10" s="251"/>
      <c r="B10" s="251"/>
      <c r="C10" s="368"/>
      <c r="D10" s="368"/>
      <c r="E10" s="250"/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4" ht="12.75">
      <c r="A11" s="576" t="s">
        <v>267</v>
      </c>
      <c r="B11" s="576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</row>
    <row r="12" spans="1:14" ht="12.75">
      <c r="A12" s="576" t="s">
        <v>92</v>
      </c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</row>
    <row r="13" spans="1:14" ht="12.75">
      <c r="A13" s="576" t="s">
        <v>237</v>
      </c>
      <c r="B13" s="576"/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</row>
    <row r="14" spans="1:14" ht="12.75">
      <c r="A14" s="367"/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</row>
    <row r="15" spans="1:14" ht="12.75">
      <c r="A15" s="552" t="s">
        <v>22</v>
      </c>
      <c r="B15" s="552" t="s">
        <v>53</v>
      </c>
      <c r="C15" s="552" t="s">
        <v>178</v>
      </c>
      <c r="D15" s="552" t="s">
        <v>177</v>
      </c>
      <c r="E15" s="564"/>
      <c r="F15" s="565"/>
      <c r="G15" s="565"/>
      <c r="H15" s="565"/>
      <c r="I15" s="565"/>
      <c r="J15" s="565"/>
      <c r="K15" s="565"/>
      <c r="L15" s="566"/>
      <c r="M15" s="552" t="s">
        <v>176</v>
      </c>
      <c r="N15" s="552"/>
    </row>
    <row r="16" spans="1:14" ht="12.75">
      <c r="A16" s="552"/>
      <c r="B16" s="552"/>
      <c r="C16" s="552"/>
      <c r="D16" s="552"/>
      <c r="E16" s="567"/>
      <c r="F16" s="568"/>
      <c r="G16" s="568"/>
      <c r="H16" s="568"/>
      <c r="I16" s="568"/>
      <c r="J16" s="568"/>
      <c r="K16" s="568"/>
      <c r="L16" s="569"/>
      <c r="M16" s="552">
        <v>44.21</v>
      </c>
      <c r="N16" s="552"/>
    </row>
    <row r="17" spans="1:14" ht="12.75">
      <c r="A17" s="552"/>
      <c r="B17" s="552"/>
      <c r="C17" s="552"/>
      <c r="D17" s="552"/>
      <c r="E17" s="570"/>
      <c r="F17" s="571"/>
      <c r="G17" s="571"/>
      <c r="H17" s="571"/>
      <c r="I17" s="571"/>
      <c r="J17" s="571"/>
      <c r="K17" s="571"/>
      <c r="L17" s="572"/>
      <c r="M17" s="365" t="s">
        <v>175</v>
      </c>
      <c r="N17" s="365" t="s">
        <v>245</v>
      </c>
    </row>
    <row r="18" spans="1:14" ht="12.75">
      <c r="A18" s="260"/>
      <c r="B18" s="552" t="s">
        <v>174</v>
      </c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</row>
    <row r="19" spans="1:14" ht="12.75">
      <c r="A19" s="553" t="s">
        <v>173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</row>
    <row r="20" spans="1:14" ht="12.75">
      <c r="A20" s="324"/>
      <c r="B20" s="514" t="s">
        <v>172</v>
      </c>
      <c r="C20" s="514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64"/>
    </row>
    <row r="21" spans="1:14" ht="12.75">
      <c r="A21" s="266"/>
      <c r="B21" s="363" t="s">
        <v>171</v>
      </c>
      <c r="C21" s="243">
        <v>1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60"/>
    </row>
    <row r="22" spans="1:14" ht="12.75">
      <c r="A22" s="266"/>
      <c r="B22" s="363" t="s">
        <v>170</v>
      </c>
      <c r="C22" s="358">
        <f>M16</f>
        <v>44.21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60"/>
    </row>
    <row r="23" spans="1:14" ht="12.75">
      <c r="A23" s="342"/>
      <c r="B23" s="363" t="s">
        <v>169</v>
      </c>
      <c r="C23" s="358">
        <v>3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60"/>
    </row>
    <row r="24" spans="1:14" ht="12.75">
      <c r="A24" s="342"/>
      <c r="B24" s="362" t="s">
        <v>168</v>
      </c>
      <c r="C24" s="358">
        <v>20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60"/>
    </row>
    <row r="25" spans="1:14" ht="12.75">
      <c r="A25" s="342"/>
      <c r="B25" s="361" t="s">
        <v>167</v>
      </c>
      <c r="C25" s="358">
        <f>C23</f>
        <v>3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60"/>
    </row>
    <row r="26" spans="1:14" ht="12.75">
      <c r="A26" s="342"/>
      <c r="B26" s="359" t="s">
        <v>166</v>
      </c>
      <c r="C26" s="358">
        <f>C23*C24</f>
        <v>60</v>
      </c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6"/>
    </row>
    <row r="27" spans="1:14" ht="12.75">
      <c r="A27" s="555" t="s">
        <v>165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</row>
    <row r="28" spans="1:14" ht="63.75">
      <c r="A28" s="344">
        <v>1</v>
      </c>
      <c r="B28" s="355" t="s">
        <v>164</v>
      </c>
      <c r="C28" s="354" t="s">
        <v>163</v>
      </c>
      <c r="D28" s="345"/>
      <c r="E28" s="344">
        <f>18.4</f>
        <v>18.4</v>
      </c>
      <c r="F28" s="353" t="s">
        <v>11</v>
      </c>
      <c r="G28" s="353">
        <f>C25</f>
        <v>3</v>
      </c>
      <c r="H28" s="353" t="s">
        <v>11</v>
      </c>
      <c r="I28" s="353">
        <v>0.5</v>
      </c>
      <c r="J28" s="353"/>
      <c r="K28" s="353"/>
      <c r="L28" s="340"/>
      <c r="M28" s="353">
        <f>E28*0.5*C25</f>
        <v>27.6</v>
      </c>
      <c r="N28" s="345">
        <f>ROUND((M28*$M$16),2)</f>
        <v>1220.2</v>
      </c>
    </row>
    <row r="29" spans="1:14" ht="12.75">
      <c r="A29" s="339"/>
      <c r="B29" s="350">
        <f>C25</f>
        <v>3</v>
      </c>
      <c r="C29" s="352"/>
      <c r="D29" s="334"/>
      <c r="E29" s="339"/>
      <c r="F29" s="351"/>
      <c r="G29" s="351"/>
      <c r="H29" s="351"/>
      <c r="I29" s="351"/>
      <c r="J29" s="351"/>
      <c r="K29" s="351"/>
      <c r="L29" s="335"/>
      <c r="M29" s="351"/>
      <c r="N29" s="334"/>
    </row>
    <row r="30" spans="1:14" ht="25.5">
      <c r="A30" s="334">
        <v>2</v>
      </c>
      <c r="B30" s="350" t="s">
        <v>162</v>
      </c>
      <c r="C30" s="350" t="s">
        <v>161</v>
      </c>
      <c r="D30" s="339"/>
      <c r="E30" s="349">
        <f>E28</f>
        <v>18.4</v>
      </c>
      <c r="F30" s="348" t="s">
        <v>11</v>
      </c>
      <c r="G30" s="348">
        <f>C25</f>
        <v>3</v>
      </c>
      <c r="H30" s="348"/>
      <c r="I30" s="348"/>
      <c r="J30" s="348"/>
      <c r="K30" s="348"/>
      <c r="L30" s="347"/>
      <c r="M30" s="335">
        <f>E30*G30</f>
        <v>55.2</v>
      </c>
      <c r="N30" s="334">
        <f>ROUND((M30*$M$16),2)</f>
        <v>2440.39</v>
      </c>
    </row>
    <row r="31" spans="1:14" ht="25.5">
      <c r="A31" s="345">
        <v>3</v>
      </c>
      <c r="B31" s="343" t="s">
        <v>160</v>
      </c>
      <c r="C31" s="342" t="s">
        <v>159</v>
      </c>
      <c r="D31" s="312"/>
      <c r="E31" s="312">
        <f>C26</f>
        <v>60</v>
      </c>
      <c r="F31" s="311" t="s">
        <v>11</v>
      </c>
      <c r="G31" s="311">
        <v>38.4</v>
      </c>
      <c r="H31" s="311"/>
      <c r="I31" s="311"/>
      <c r="J31" s="311"/>
      <c r="K31" s="311"/>
      <c r="L31" s="310"/>
      <c r="M31" s="346">
        <f>C26*G31</f>
        <v>2304</v>
      </c>
      <c r="N31" s="345">
        <f>ROUND((M31*$M$16),2)</f>
        <v>101859.84</v>
      </c>
    </row>
    <row r="32" spans="1:14" ht="25.5">
      <c r="A32" s="344">
        <v>4</v>
      </c>
      <c r="B32" s="343" t="s">
        <v>158</v>
      </c>
      <c r="C32" s="311" t="s">
        <v>157</v>
      </c>
      <c r="D32" s="342"/>
      <c r="E32" s="311">
        <f>22.9</f>
        <v>22.9</v>
      </c>
      <c r="F32" s="311" t="s">
        <v>11</v>
      </c>
      <c r="G32" s="311">
        <f>B33</f>
        <v>30</v>
      </c>
      <c r="H32" s="311"/>
      <c r="I32" s="311"/>
      <c r="J32" s="311"/>
      <c r="K32" s="311"/>
      <c r="L32" s="311"/>
      <c r="M32" s="341">
        <f>22.9*30</f>
        <v>687</v>
      </c>
      <c r="N32" s="340">
        <f>ROUND((M32*$M$16),2)</f>
        <v>30372.27</v>
      </c>
    </row>
    <row r="33" spans="1:14" ht="12.75">
      <c r="A33" s="339"/>
      <c r="B33" s="338">
        <f>ROUND(C26/2,0)</f>
        <v>30</v>
      </c>
      <c r="C33" s="337"/>
      <c r="D33" s="324"/>
      <c r="E33" s="337"/>
      <c r="F33" s="337"/>
      <c r="G33" s="337"/>
      <c r="H33" s="337"/>
      <c r="I33" s="337"/>
      <c r="J33" s="337"/>
      <c r="K33" s="337"/>
      <c r="L33" s="337"/>
      <c r="M33" s="336"/>
      <c r="N33" s="335"/>
    </row>
    <row r="34" spans="1:14" ht="12.75">
      <c r="A34" s="334">
        <v>6</v>
      </c>
      <c r="B34" s="544" t="s">
        <v>150</v>
      </c>
      <c r="C34" s="544"/>
      <c r="D34" s="540"/>
      <c r="E34" s="333"/>
      <c r="F34" s="285"/>
      <c r="G34" s="285"/>
      <c r="H34" s="285"/>
      <c r="I34" s="285"/>
      <c r="J34" s="285"/>
      <c r="K34" s="285"/>
      <c r="L34" s="332"/>
      <c r="M34" s="331">
        <f>SUM(M28:M33)</f>
        <v>3073.8</v>
      </c>
      <c r="N34" s="330">
        <f>SUM(N28:N33)</f>
        <v>135892.7</v>
      </c>
    </row>
    <row r="35" spans="1:14" ht="38.25">
      <c r="A35" s="260">
        <v>7</v>
      </c>
      <c r="B35" s="329" t="s">
        <v>156</v>
      </c>
      <c r="C35" s="324" t="s">
        <v>155</v>
      </c>
      <c r="D35" s="328" t="s">
        <v>154</v>
      </c>
      <c r="E35" s="557">
        <f>M34</f>
        <v>3073.8</v>
      </c>
      <c r="F35" s="558"/>
      <c r="G35" s="558"/>
      <c r="H35" s="327" t="s">
        <v>11</v>
      </c>
      <c r="I35" s="327">
        <v>0.0875</v>
      </c>
      <c r="J35" s="327"/>
      <c r="K35" s="327"/>
      <c r="L35" s="326"/>
      <c r="M35" s="325">
        <f>M34*I35</f>
        <v>268.96</v>
      </c>
      <c r="N35" s="324">
        <f>ROUND((M35*$M$16),2)</f>
        <v>11890.72</v>
      </c>
    </row>
    <row r="36" spans="1:14" ht="38.25">
      <c r="A36" s="260">
        <v>8</v>
      </c>
      <c r="B36" s="323" t="s">
        <v>153</v>
      </c>
      <c r="C36" s="322" t="s">
        <v>152</v>
      </c>
      <c r="D36" s="321" t="s">
        <v>151</v>
      </c>
      <c r="E36" s="559">
        <f>M34+M35</f>
        <v>3342.76</v>
      </c>
      <c r="F36" s="560"/>
      <c r="G36" s="560"/>
      <c r="H36" s="320" t="s">
        <v>11</v>
      </c>
      <c r="I36" s="320">
        <v>0.06</v>
      </c>
      <c r="J36" s="320"/>
      <c r="K36" s="320"/>
      <c r="L36" s="319"/>
      <c r="M36" s="318">
        <f>(M34+M35)*0.06</f>
        <v>200.57</v>
      </c>
      <c r="N36" s="266">
        <f>ROUND((M36*$M$16),2)</f>
        <v>8867.2</v>
      </c>
    </row>
    <row r="37" spans="1:14" ht="12.75">
      <c r="A37" s="260">
        <v>9</v>
      </c>
      <c r="B37" s="561" t="s">
        <v>150</v>
      </c>
      <c r="C37" s="561"/>
      <c r="D37" s="562"/>
      <c r="E37" s="317"/>
      <c r="F37" s="316"/>
      <c r="G37" s="316"/>
      <c r="H37" s="316"/>
      <c r="I37" s="316"/>
      <c r="J37" s="316"/>
      <c r="K37" s="316"/>
      <c r="L37" s="315"/>
      <c r="M37" s="314">
        <f>SUM(M34:M36)</f>
        <v>3543.33</v>
      </c>
      <c r="N37" s="313">
        <f>SUM(N34:N36)</f>
        <v>156650.62</v>
      </c>
    </row>
    <row r="38" spans="1:14" ht="12.75">
      <c r="A38" s="260">
        <v>10</v>
      </c>
      <c r="B38" s="552" t="s">
        <v>149</v>
      </c>
      <c r="C38" s="552"/>
      <c r="D38" s="552"/>
      <c r="E38" s="546"/>
      <c r="F38" s="546"/>
      <c r="G38" s="546"/>
      <c r="H38" s="546"/>
      <c r="I38" s="546"/>
      <c r="J38" s="546"/>
      <c r="K38" s="546"/>
      <c r="L38" s="546"/>
      <c r="M38" s="552"/>
      <c r="N38" s="552"/>
    </row>
    <row r="39" spans="1:14" ht="25.5">
      <c r="A39" s="260">
        <v>11</v>
      </c>
      <c r="B39" s="309" t="s">
        <v>148</v>
      </c>
      <c r="C39" s="266" t="s">
        <v>147</v>
      </c>
      <c r="D39" s="265"/>
      <c r="E39" s="312">
        <f>C25</f>
        <v>3</v>
      </c>
      <c r="F39" s="311" t="s">
        <v>11</v>
      </c>
      <c r="G39" s="563">
        <v>220.2</v>
      </c>
      <c r="H39" s="563"/>
      <c r="I39" s="311"/>
      <c r="J39" s="311"/>
      <c r="K39" s="311"/>
      <c r="L39" s="310"/>
      <c r="M39" s="303">
        <f>E39*G39</f>
        <v>660.6</v>
      </c>
      <c r="N39" s="260">
        <f>ROUND((M39*$M$16),2)</f>
        <v>29205.13</v>
      </c>
    </row>
    <row r="40" spans="1:14" ht="25.5">
      <c r="A40" s="260">
        <v>12</v>
      </c>
      <c r="B40" s="309" t="s">
        <v>146</v>
      </c>
      <c r="C40" s="266" t="s">
        <v>145</v>
      </c>
      <c r="D40" s="265"/>
      <c r="E40" s="265">
        <f>C25</f>
        <v>3</v>
      </c>
      <c r="F40" s="279" t="s">
        <v>11</v>
      </c>
      <c r="G40" s="279">
        <v>48.4</v>
      </c>
      <c r="H40" s="181"/>
      <c r="I40" s="279"/>
      <c r="J40" s="279"/>
      <c r="K40" s="279"/>
      <c r="L40" s="278"/>
      <c r="M40" s="303">
        <f>E40*G40</f>
        <v>145.2</v>
      </c>
      <c r="N40" s="260">
        <f>ROUND((M40*$M$16),2)</f>
        <v>6419.29</v>
      </c>
    </row>
    <row r="41" spans="1:14" ht="25.5">
      <c r="A41" s="260">
        <v>13</v>
      </c>
      <c r="B41" s="308" t="s">
        <v>144</v>
      </c>
      <c r="C41" s="308" t="s">
        <v>143</v>
      </c>
      <c r="D41" s="307"/>
      <c r="E41" s="306">
        <f>C25</f>
        <v>3</v>
      </c>
      <c r="F41" s="305" t="s">
        <v>11</v>
      </c>
      <c r="G41" s="305">
        <v>25.4</v>
      </c>
      <c r="H41" s="305"/>
      <c r="I41" s="305"/>
      <c r="J41" s="305"/>
      <c r="K41" s="305"/>
      <c r="L41" s="304"/>
      <c r="M41" s="303">
        <f>E41*G41</f>
        <v>76.2</v>
      </c>
      <c r="N41" s="260">
        <f>ROUND((M41*$M$16),2)</f>
        <v>3368.8</v>
      </c>
    </row>
    <row r="42" spans="1:14" ht="12.75">
      <c r="A42" s="260">
        <v>14</v>
      </c>
      <c r="B42" s="544" t="s">
        <v>142</v>
      </c>
      <c r="C42" s="544"/>
      <c r="D42" s="540"/>
      <c r="E42" s="285"/>
      <c r="F42" s="285"/>
      <c r="G42" s="285"/>
      <c r="H42" s="285"/>
      <c r="I42" s="285"/>
      <c r="J42" s="285"/>
      <c r="K42" s="285"/>
      <c r="L42" s="285"/>
      <c r="M42" s="302">
        <f>SUM(M39:M41)</f>
        <v>882</v>
      </c>
      <c r="N42" s="283">
        <f>SUM(N39:N41)</f>
        <v>38993.22</v>
      </c>
    </row>
    <row r="43" spans="1:14" ht="12.75">
      <c r="A43" s="260">
        <v>15</v>
      </c>
      <c r="B43" s="550" t="s">
        <v>141</v>
      </c>
      <c r="C43" s="550"/>
      <c r="D43" s="550"/>
      <c r="E43" s="551"/>
      <c r="F43" s="551"/>
      <c r="G43" s="551"/>
      <c r="H43" s="551"/>
      <c r="I43" s="551"/>
      <c r="J43" s="551"/>
      <c r="K43" s="551"/>
      <c r="L43" s="551"/>
      <c r="M43" s="550"/>
      <c r="N43" s="550"/>
    </row>
    <row r="44" spans="1:14" ht="25.5">
      <c r="A44" s="260">
        <v>16</v>
      </c>
      <c r="B44" s="301" t="s">
        <v>140</v>
      </c>
      <c r="C44" s="300" t="s">
        <v>139</v>
      </c>
      <c r="D44" s="299"/>
      <c r="E44" s="298">
        <f>C26</f>
        <v>60</v>
      </c>
      <c r="F44" s="297" t="s">
        <v>11</v>
      </c>
      <c r="G44" s="297">
        <v>9</v>
      </c>
      <c r="H44" s="297"/>
      <c r="I44" s="297"/>
      <c r="J44" s="297"/>
      <c r="K44" s="297"/>
      <c r="L44" s="296"/>
      <c r="M44" s="295">
        <f>E44*9</f>
        <v>540</v>
      </c>
      <c r="N44" s="260">
        <f>ROUND((M44*$M$16),2)</f>
        <v>23873.4</v>
      </c>
    </row>
    <row r="45" spans="1:14" ht="12.75">
      <c r="A45" s="260">
        <v>17</v>
      </c>
      <c r="B45" s="267" t="s">
        <v>138</v>
      </c>
      <c r="C45" s="266" t="s">
        <v>137</v>
      </c>
      <c r="D45" s="294"/>
      <c r="E45" s="294">
        <f>E44</f>
        <v>60</v>
      </c>
      <c r="F45" s="293" t="s">
        <v>11</v>
      </c>
      <c r="G45" s="293">
        <v>8.2</v>
      </c>
      <c r="H45" s="293"/>
      <c r="I45" s="293"/>
      <c r="J45" s="293"/>
      <c r="K45" s="293"/>
      <c r="L45" s="292"/>
      <c r="M45" s="291">
        <f>E45*8.2</f>
        <v>492</v>
      </c>
      <c r="N45" s="260">
        <f>ROUND((M45*$M$16),2)</f>
        <v>21751.32</v>
      </c>
    </row>
    <row r="46" spans="1:14" ht="25.5">
      <c r="A46" s="260">
        <v>18</v>
      </c>
      <c r="B46" s="267" t="s">
        <v>136</v>
      </c>
      <c r="C46" s="290" t="s">
        <v>135</v>
      </c>
      <c r="D46" s="289"/>
      <c r="E46" s="542">
        <f>M42</f>
        <v>882</v>
      </c>
      <c r="F46" s="543"/>
      <c r="G46" s="543"/>
      <c r="H46" s="288" t="s">
        <v>11</v>
      </c>
      <c r="I46" s="288">
        <v>0.2</v>
      </c>
      <c r="J46" s="288"/>
      <c r="K46" s="288"/>
      <c r="L46" s="287"/>
      <c r="M46" s="286">
        <f>E46*I46</f>
        <v>176.4</v>
      </c>
      <c r="N46" s="260">
        <f>ROUND((M46*$M$16),2)</f>
        <v>7798.64</v>
      </c>
    </row>
    <row r="47" spans="1:14" ht="12.75">
      <c r="A47" s="260">
        <v>19</v>
      </c>
      <c r="B47" s="544" t="s">
        <v>134</v>
      </c>
      <c r="C47" s="544"/>
      <c r="D47" s="540"/>
      <c r="E47" s="285"/>
      <c r="F47" s="285"/>
      <c r="G47" s="285"/>
      <c r="H47" s="285"/>
      <c r="I47" s="285"/>
      <c r="J47" s="285"/>
      <c r="K47" s="285"/>
      <c r="L47" s="285"/>
      <c r="M47" s="284">
        <f>SUM(M44:M46)</f>
        <v>1208.4</v>
      </c>
      <c r="N47" s="283">
        <f>SUM(N44:N46)</f>
        <v>53423.36</v>
      </c>
    </row>
    <row r="48" spans="1:14" ht="12.75">
      <c r="A48" s="260">
        <v>20</v>
      </c>
      <c r="B48" s="545" t="s">
        <v>133</v>
      </c>
      <c r="C48" s="545"/>
      <c r="D48" s="545"/>
      <c r="E48" s="546"/>
      <c r="F48" s="546"/>
      <c r="G48" s="546"/>
      <c r="H48" s="546"/>
      <c r="I48" s="546"/>
      <c r="J48" s="546"/>
      <c r="K48" s="546"/>
      <c r="L48" s="546"/>
      <c r="M48" s="545"/>
      <c r="N48" s="545"/>
    </row>
    <row r="49" spans="1:14" ht="25.5">
      <c r="A49" s="260">
        <v>21</v>
      </c>
      <c r="B49" s="267" t="s">
        <v>132</v>
      </c>
      <c r="C49" s="266" t="s">
        <v>131</v>
      </c>
      <c r="D49" s="282" t="s">
        <v>130</v>
      </c>
      <c r="E49" s="282">
        <f>500</f>
        <v>500</v>
      </c>
      <c r="F49" s="281" t="s">
        <v>11</v>
      </c>
      <c r="G49" s="281">
        <v>1.25</v>
      </c>
      <c r="H49" s="281"/>
      <c r="I49" s="281"/>
      <c r="J49" s="281"/>
      <c r="K49" s="281"/>
      <c r="L49" s="280"/>
      <c r="M49" s="277">
        <f>500*1.25</f>
        <v>625</v>
      </c>
      <c r="N49" s="276">
        <f>ROUND((M49*$M$16),2)</f>
        <v>27631.25</v>
      </c>
    </row>
    <row r="50" spans="1:14" ht="12.75">
      <c r="A50" s="260">
        <v>22</v>
      </c>
      <c r="B50" s="267" t="s">
        <v>129</v>
      </c>
      <c r="C50" s="266" t="s">
        <v>128</v>
      </c>
      <c r="D50" s="265" t="s">
        <v>127</v>
      </c>
      <c r="E50" s="547">
        <f>M47</f>
        <v>1208.4</v>
      </c>
      <c r="F50" s="548"/>
      <c r="G50" s="548"/>
      <c r="H50" s="279" t="s">
        <v>11</v>
      </c>
      <c r="I50" s="279">
        <v>0.21</v>
      </c>
      <c r="J50" s="279"/>
      <c r="K50" s="279"/>
      <c r="L50" s="278"/>
      <c r="M50" s="277">
        <f>0.21*M47</f>
        <v>253.76</v>
      </c>
      <c r="N50" s="276">
        <f>ROUND((M50*M16),2)</f>
        <v>11218.73</v>
      </c>
    </row>
    <row r="51" spans="1:14" ht="12.75">
      <c r="A51" s="260">
        <v>23</v>
      </c>
      <c r="B51" s="544" t="s">
        <v>126</v>
      </c>
      <c r="C51" s="544"/>
      <c r="D51" s="540"/>
      <c r="E51" s="275"/>
      <c r="F51" s="274"/>
      <c r="G51" s="274"/>
      <c r="H51" s="274"/>
      <c r="I51" s="274"/>
      <c r="J51" s="274"/>
      <c r="K51" s="274"/>
      <c r="L51" s="273"/>
      <c r="M51" s="272">
        <f>M50+M49</f>
        <v>878.76</v>
      </c>
      <c r="N51" s="255">
        <f>N49+N50</f>
        <v>38849.98</v>
      </c>
    </row>
    <row r="52" spans="1:14" ht="12.75">
      <c r="A52" s="260">
        <v>24</v>
      </c>
      <c r="B52" s="547" t="s">
        <v>10</v>
      </c>
      <c r="C52" s="548"/>
      <c r="D52" s="548"/>
      <c r="E52" s="548"/>
      <c r="F52" s="548"/>
      <c r="G52" s="548"/>
      <c r="H52" s="548"/>
      <c r="I52" s="548"/>
      <c r="J52" s="548"/>
      <c r="K52" s="548"/>
      <c r="L52" s="549"/>
      <c r="M52" s="272">
        <f>M37+M42+M47+M51</f>
        <v>6512.49</v>
      </c>
      <c r="N52" s="272">
        <f>N37+N42+N47+N51</f>
        <v>287917.18</v>
      </c>
    </row>
    <row r="53" spans="1:14" ht="12.75">
      <c r="A53" s="260">
        <v>25</v>
      </c>
      <c r="B53" s="271" t="s">
        <v>21</v>
      </c>
      <c r="C53" s="271"/>
      <c r="D53" s="270">
        <v>1</v>
      </c>
      <c r="E53" s="264"/>
      <c r="F53" s="263"/>
      <c r="G53" s="263"/>
      <c r="H53" s="263"/>
      <c r="I53" s="263"/>
      <c r="J53" s="263"/>
      <c r="K53" s="263"/>
      <c r="L53" s="262"/>
      <c r="M53" s="269">
        <f>M52*D53</f>
        <v>6512.49</v>
      </c>
      <c r="N53" s="268">
        <f>ROUND((D53*N52),2)</f>
        <v>287917.18</v>
      </c>
    </row>
    <row r="54" spans="1:14" ht="12.75">
      <c r="A54" s="260">
        <v>26</v>
      </c>
      <c r="B54" s="267" t="s">
        <v>246</v>
      </c>
      <c r="C54" s="266"/>
      <c r="D54" s="265"/>
      <c r="E54" s="264"/>
      <c r="F54" s="263"/>
      <c r="G54" s="263"/>
      <c r="H54" s="263"/>
      <c r="I54" s="263"/>
      <c r="J54" s="263"/>
      <c r="K54" s="263"/>
      <c r="L54" s="262"/>
      <c r="M54" s="256"/>
      <c r="N54" s="261">
        <f>0.2*N53</f>
        <v>57583.44</v>
      </c>
    </row>
    <row r="55" spans="1:14" ht="12.75">
      <c r="A55" s="260">
        <v>27</v>
      </c>
      <c r="B55" s="540" t="s">
        <v>125</v>
      </c>
      <c r="C55" s="541"/>
      <c r="D55" s="541"/>
      <c r="E55" s="259"/>
      <c r="F55" s="258"/>
      <c r="G55" s="258"/>
      <c r="H55" s="258"/>
      <c r="I55" s="258"/>
      <c r="J55" s="258"/>
      <c r="K55" s="258"/>
      <c r="L55" s="257"/>
      <c r="M55" s="256"/>
      <c r="N55" s="255">
        <f>N54+N53</f>
        <v>345500.62</v>
      </c>
    </row>
    <row r="59" spans="2:4" ht="12.75">
      <c r="B59" s="166" t="s">
        <v>93</v>
      </c>
      <c r="C59" s="167"/>
      <c r="D59" s="167"/>
    </row>
    <row r="60" spans="2:4" ht="12.75">
      <c r="B60" s="167"/>
      <c r="C60" s="167"/>
      <c r="D60" s="167"/>
    </row>
    <row r="61" spans="2:4" ht="12.75">
      <c r="B61" s="167"/>
      <c r="C61" s="167"/>
      <c r="D61" s="167"/>
    </row>
    <row r="62" spans="2:4" ht="12.75">
      <c r="B62" s="168"/>
      <c r="C62" s="167"/>
      <c r="D62" s="167"/>
    </row>
  </sheetData>
  <sheetProtection/>
  <mergeCells count="40">
    <mergeCell ref="I2:N2"/>
    <mergeCell ref="I3:N3"/>
    <mergeCell ref="I4:N4"/>
    <mergeCell ref="I5:N5"/>
    <mergeCell ref="A11:N11"/>
    <mergeCell ref="A13:N13"/>
    <mergeCell ref="A9:N9"/>
    <mergeCell ref="A12:N12"/>
    <mergeCell ref="A5:B5"/>
    <mergeCell ref="A6:B6"/>
    <mergeCell ref="I6:N6"/>
    <mergeCell ref="A3:B3"/>
    <mergeCell ref="A4:C4"/>
    <mergeCell ref="C15:C17"/>
    <mergeCell ref="D15:D17"/>
    <mergeCell ref="A8:N8"/>
    <mergeCell ref="B42:D42"/>
    <mergeCell ref="E15:L17"/>
    <mergeCell ref="M15:N15"/>
    <mergeCell ref="M16:N16"/>
    <mergeCell ref="A15:A17"/>
    <mergeCell ref="B15:B17"/>
    <mergeCell ref="B38:N38"/>
    <mergeCell ref="B43:N43"/>
    <mergeCell ref="B18:N18"/>
    <mergeCell ref="A19:N19"/>
    <mergeCell ref="B20:C20"/>
    <mergeCell ref="A27:N27"/>
    <mergeCell ref="B34:D34"/>
    <mergeCell ref="E35:G35"/>
    <mergeCell ref="E36:G36"/>
    <mergeCell ref="B37:D37"/>
    <mergeCell ref="G39:H39"/>
    <mergeCell ref="B55:D55"/>
    <mergeCell ref="E46:G46"/>
    <mergeCell ref="B47:D47"/>
    <mergeCell ref="B48:N48"/>
    <mergeCell ref="E50:G50"/>
    <mergeCell ref="B51:D51"/>
    <mergeCell ref="B52:L5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72"/>
  <sheetViews>
    <sheetView view="pageBreakPreview" zoomScaleSheetLayoutView="100" zoomScalePageLayoutView="0" workbookViewId="0" topLeftCell="A1">
      <selection activeCell="A11" sqref="A11:M11"/>
    </sheetView>
  </sheetViews>
  <sheetFormatPr defaultColWidth="9.00390625" defaultRowHeight="12.75"/>
  <cols>
    <col min="1" max="1" width="4.125" style="26" customWidth="1"/>
    <col min="2" max="2" width="35.00390625" style="26" customWidth="1"/>
    <col min="3" max="3" width="12.25390625" style="26" customWidth="1"/>
    <col min="4" max="4" width="6.875" style="26" customWidth="1"/>
    <col min="5" max="5" width="7.625" style="26" customWidth="1"/>
    <col min="6" max="6" width="7.875" style="26" customWidth="1"/>
    <col min="7" max="7" width="2.125" style="26" customWidth="1"/>
    <col min="8" max="8" width="5.375" style="26" customWidth="1"/>
    <col min="9" max="9" width="2.75390625" style="26" customWidth="1"/>
    <col min="10" max="10" width="8.25390625" style="26" customWidth="1"/>
    <col min="11" max="11" width="2.00390625" style="26" customWidth="1"/>
    <col min="12" max="12" width="5.00390625" style="26" customWidth="1"/>
    <col min="13" max="13" width="12.125" style="369" customWidth="1"/>
    <col min="14" max="15" width="9.125" style="26" customWidth="1"/>
    <col min="16" max="16" width="13.125" style="26" customWidth="1"/>
    <col min="17" max="16384" width="9.125" style="26" customWidth="1"/>
  </cols>
  <sheetData>
    <row r="1" spans="1:13" ht="12.75">
      <c r="A1" s="3"/>
      <c r="B1" s="3"/>
      <c r="C1" s="3"/>
      <c r="D1" s="3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"/>
      <c r="B2" s="3"/>
      <c r="C2" s="3"/>
      <c r="D2" s="3"/>
      <c r="E2" s="31"/>
      <c r="F2" s="31"/>
      <c r="G2" s="31"/>
      <c r="H2" s="460" t="s">
        <v>94</v>
      </c>
      <c r="I2" s="460"/>
      <c r="J2" s="460"/>
      <c r="K2" s="460"/>
      <c r="L2" s="460"/>
      <c r="M2" s="460"/>
    </row>
    <row r="3" spans="1:13" ht="15" customHeight="1">
      <c r="A3" s="3"/>
      <c r="B3" s="3"/>
      <c r="C3" s="3"/>
      <c r="D3" s="3"/>
      <c r="E3" s="31"/>
      <c r="F3" s="31"/>
      <c r="G3" s="31"/>
      <c r="H3" s="459" t="s">
        <v>257</v>
      </c>
      <c r="I3" s="459"/>
      <c r="J3" s="459"/>
      <c r="K3" s="459"/>
      <c r="L3" s="459"/>
      <c r="M3" s="459"/>
    </row>
    <row r="4" spans="1:13" ht="15" customHeight="1">
      <c r="A4" s="3"/>
      <c r="B4" s="3"/>
      <c r="C4" s="3"/>
      <c r="D4" s="3"/>
      <c r="E4" s="442"/>
      <c r="F4" s="442"/>
      <c r="G4" s="442"/>
      <c r="H4" s="459" t="s">
        <v>236</v>
      </c>
      <c r="I4" s="459"/>
      <c r="J4" s="459"/>
      <c r="K4" s="459"/>
      <c r="L4" s="459"/>
      <c r="M4" s="459"/>
    </row>
    <row r="5" spans="1:13" ht="19.5" customHeight="1">
      <c r="A5" s="3"/>
      <c r="B5" s="3"/>
      <c r="C5" s="3"/>
      <c r="D5" s="3"/>
      <c r="E5" s="31"/>
      <c r="F5" s="31"/>
      <c r="G5" s="31"/>
      <c r="H5" s="459" t="s">
        <v>262</v>
      </c>
      <c r="I5" s="459"/>
      <c r="J5" s="459"/>
      <c r="K5" s="459"/>
      <c r="L5" s="459"/>
      <c r="M5" s="459"/>
    </row>
    <row r="6" spans="1:13" ht="19.5" customHeight="1">
      <c r="A6" s="3"/>
      <c r="B6" s="3"/>
      <c r="C6" s="3"/>
      <c r="D6" s="3"/>
      <c r="E6" s="25"/>
      <c r="F6" s="25"/>
      <c r="G6" s="25"/>
      <c r="H6" s="459" t="s">
        <v>235</v>
      </c>
      <c r="I6" s="459"/>
      <c r="J6" s="459"/>
      <c r="K6" s="459"/>
      <c r="L6" s="459"/>
      <c r="M6" s="459"/>
    </row>
    <row r="7" spans="1:12" ht="12.75">
      <c r="A7" s="3"/>
      <c r="B7" s="3"/>
      <c r="C7" s="3"/>
      <c r="D7" s="3"/>
      <c r="E7" s="25"/>
      <c r="F7" s="25"/>
      <c r="G7" s="25"/>
      <c r="H7" s="25"/>
      <c r="I7" s="25"/>
      <c r="J7" s="25"/>
      <c r="K7" s="25"/>
      <c r="L7" s="25"/>
    </row>
    <row r="8" spans="1:13" ht="12.75">
      <c r="A8" s="594" t="s">
        <v>231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</row>
    <row r="9" spans="1:13" ht="12.75">
      <c r="A9" s="623" t="s">
        <v>224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</row>
    <row r="10" spans="1:13" ht="1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5" customHeight="1">
      <c r="A11" s="586" t="s">
        <v>267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</row>
    <row r="12" spans="1:13" ht="15" customHeight="1">
      <c r="A12" s="586" t="s">
        <v>92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</row>
    <row r="13" spans="1:13" ht="15" customHeight="1">
      <c r="A13" s="586" t="s">
        <v>237</v>
      </c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</row>
    <row r="14" spans="1:13" ht="15" customHeight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</row>
    <row r="15" spans="1:13" ht="72.75" customHeight="1">
      <c r="A15" s="440" t="s">
        <v>22</v>
      </c>
      <c r="B15" s="440" t="s">
        <v>1</v>
      </c>
      <c r="C15" s="624" t="s">
        <v>223</v>
      </c>
      <c r="D15" s="625"/>
      <c r="E15" s="624" t="s">
        <v>222</v>
      </c>
      <c r="F15" s="626"/>
      <c r="G15" s="626"/>
      <c r="H15" s="626"/>
      <c r="I15" s="626"/>
      <c r="J15" s="626"/>
      <c r="K15" s="626"/>
      <c r="L15" s="626"/>
      <c r="M15" s="439" t="s">
        <v>176</v>
      </c>
    </row>
    <row r="16" spans="1:13" s="436" customFormat="1" ht="12.75">
      <c r="A16" s="438">
        <v>1</v>
      </c>
      <c r="B16" s="438">
        <v>2</v>
      </c>
      <c r="C16" s="619">
        <v>3</v>
      </c>
      <c r="D16" s="621"/>
      <c r="E16" s="619">
        <v>4</v>
      </c>
      <c r="F16" s="620"/>
      <c r="G16" s="620"/>
      <c r="H16" s="620"/>
      <c r="I16" s="620"/>
      <c r="J16" s="620"/>
      <c r="K16" s="620"/>
      <c r="L16" s="621"/>
      <c r="M16" s="437">
        <v>5</v>
      </c>
    </row>
    <row r="17" spans="1:13" ht="29.25" customHeight="1">
      <c r="A17" s="406"/>
      <c r="B17" s="583" t="s">
        <v>221</v>
      </c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627"/>
    </row>
    <row r="18" spans="1:13" ht="12.75">
      <c r="A18" s="27"/>
      <c r="B18" s="28" t="s">
        <v>172</v>
      </c>
      <c r="C18" s="24"/>
      <c r="D18" s="24"/>
      <c r="E18" s="24"/>
      <c r="F18" s="29"/>
      <c r="G18" s="29"/>
      <c r="H18" s="29"/>
      <c r="I18" s="29"/>
      <c r="J18" s="29"/>
      <c r="K18" s="29"/>
      <c r="L18" s="29"/>
      <c r="M18" s="433"/>
    </row>
    <row r="19" spans="1:13" ht="12.75">
      <c r="A19" s="27"/>
      <c r="B19" s="24" t="s">
        <v>220</v>
      </c>
      <c r="C19" s="29"/>
      <c r="D19" s="435">
        <f>1.3+0.25</f>
        <v>1.55</v>
      </c>
      <c r="E19" s="29"/>
      <c r="F19" s="29"/>
      <c r="G19" s="29"/>
      <c r="H19" s="29"/>
      <c r="I19" s="29"/>
      <c r="J19" s="29"/>
      <c r="K19" s="29"/>
      <c r="L19" s="29"/>
      <c r="M19" s="433"/>
    </row>
    <row r="20" spans="1:13" ht="12.75">
      <c r="A20" s="27"/>
      <c r="B20" s="24" t="s">
        <v>248</v>
      </c>
      <c r="C20" s="29"/>
      <c r="D20" s="435">
        <v>44.21</v>
      </c>
      <c r="E20" s="434"/>
      <c r="F20" s="29"/>
      <c r="G20" s="29"/>
      <c r="H20" s="29"/>
      <c r="I20" s="29"/>
      <c r="J20" s="29"/>
      <c r="K20" s="29"/>
      <c r="L20" s="29"/>
      <c r="M20" s="433"/>
    </row>
    <row r="21" spans="1:18" ht="12.75">
      <c r="A21" s="27"/>
      <c r="B21" s="24" t="s">
        <v>219</v>
      </c>
      <c r="C21" s="435"/>
      <c r="D21" s="435">
        <v>0.2</v>
      </c>
      <c r="E21" s="434"/>
      <c r="F21" s="29"/>
      <c r="G21" s="29"/>
      <c r="H21" s="29"/>
      <c r="I21" s="29"/>
      <c r="J21" s="622" t="s">
        <v>50</v>
      </c>
      <c r="K21" s="622"/>
      <c r="L21" s="622"/>
      <c r="M21" s="433"/>
      <c r="P21" s="3"/>
      <c r="Q21" s="25" t="s">
        <v>50</v>
      </c>
      <c r="R21" s="3" t="s">
        <v>50</v>
      </c>
    </row>
    <row r="22" spans="1:13" ht="12.75">
      <c r="A22" s="628" t="s">
        <v>218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</row>
    <row r="23" spans="1:13" ht="12.75">
      <c r="A23" s="581">
        <v>1</v>
      </c>
      <c r="B23" s="616" t="s">
        <v>217</v>
      </c>
      <c r="C23" s="378" t="s">
        <v>216</v>
      </c>
      <c r="D23" s="388"/>
      <c r="E23" s="595" t="s">
        <v>201</v>
      </c>
      <c r="F23" s="596"/>
      <c r="G23" s="596"/>
      <c r="H23" s="596"/>
      <c r="I23" s="596"/>
      <c r="J23" s="596"/>
      <c r="K23" s="596"/>
      <c r="L23" s="596"/>
      <c r="M23" s="597">
        <f>ROUND(E24*J24,2)</f>
        <v>2.17</v>
      </c>
    </row>
    <row r="24" spans="1:13" ht="12.75">
      <c r="A24" s="581"/>
      <c r="B24" s="599"/>
      <c r="C24" s="378"/>
      <c r="D24" s="388"/>
      <c r="E24" s="387">
        <v>4.33</v>
      </c>
      <c r="F24" s="373"/>
      <c r="G24" s="373"/>
      <c r="H24" s="373"/>
      <c r="I24" s="373"/>
      <c r="J24" s="432">
        <v>0.5</v>
      </c>
      <c r="K24" s="373"/>
      <c r="L24" s="373"/>
      <c r="M24" s="597"/>
    </row>
    <row r="25" spans="1:13" ht="12.75">
      <c r="A25" s="581"/>
      <c r="B25" s="599"/>
      <c r="C25" s="378"/>
      <c r="D25" s="388"/>
      <c r="E25" s="595" t="s">
        <v>200</v>
      </c>
      <c r="F25" s="596"/>
      <c r="G25" s="596"/>
      <c r="H25" s="596"/>
      <c r="I25" s="596"/>
      <c r="J25" s="596"/>
      <c r="K25" s="596"/>
      <c r="L25" s="596"/>
      <c r="M25" s="597">
        <f>ROUND(E26*J26,2)</f>
        <v>0.85</v>
      </c>
    </row>
    <row r="26" spans="1:13" ht="19.5" customHeight="1">
      <c r="A26" s="581"/>
      <c r="B26" s="599"/>
      <c r="C26" s="378"/>
      <c r="D26" s="388"/>
      <c r="E26" s="431">
        <v>1.69</v>
      </c>
      <c r="F26" s="391"/>
      <c r="G26" s="391"/>
      <c r="H26" s="391"/>
      <c r="I26" s="391"/>
      <c r="J26" s="391">
        <f>J24</f>
        <v>0.5</v>
      </c>
      <c r="K26" s="391"/>
      <c r="L26" s="391"/>
      <c r="M26" s="597"/>
    </row>
    <row r="27" spans="1:13" ht="12.75">
      <c r="A27" s="580">
        <v>2</v>
      </c>
      <c r="B27" s="598" t="s">
        <v>215</v>
      </c>
      <c r="C27" s="404" t="s">
        <v>214</v>
      </c>
      <c r="D27" s="403"/>
      <c r="E27" s="583" t="s">
        <v>201</v>
      </c>
      <c r="F27" s="584"/>
      <c r="G27" s="584"/>
      <c r="H27" s="584"/>
      <c r="I27" s="584"/>
      <c r="J27" s="584"/>
      <c r="K27" s="584"/>
      <c r="L27" s="584"/>
      <c r="M27" s="601">
        <f>ROUND(E28*J28,2)</f>
        <v>10.15</v>
      </c>
    </row>
    <row r="28" spans="1:13" ht="12.75">
      <c r="A28" s="581"/>
      <c r="B28" s="599"/>
      <c r="C28" s="378"/>
      <c r="D28" s="388"/>
      <c r="E28" s="387">
        <v>20.3</v>
      </c>
      <c r="F28" s="373"/>
      <c r="G28" s="373"/>
      <c r="H28" s="373"/>
      <c r="I28" s="373"/>
      <c r="J28" s="373">
        <f>J24</f>
        <v>0.5</v>
      </c>
      <c r="K28" s="373"/>
      <c r="L28" s="373"/>
      <c r="M28" s="597"/>
    </row>
    <row r="29" spans="1:13" ht="12.75">
      <c r="A29" s="581"/>
      <c r="B29" s="599"/>
      <c r="C29" s="378"/>
      <c r="D29" s="388"/>
      <c r="E29" s="595" t="s">
        <v>200</v>
      </c>
      <c r="F29" s="596"/>
      <c r="G29" s="596"/>
      <c r="H29" s="596"/>
      <c r="I29" s="596"/>
      <c r="J29" s="596"/>
      <c r="K29" s="596"/>
      <c r="L29" s="596"/>
      <c r="M29" s="597">
        <f>ROUND(E30*J30,2)</f>
        <v>1.05</v>
      </c>
    </row>
    <row r="30" spans="1:13" ht="39" customHeight="1">
      <c r="A30" s="582"/>
      <c r="B30" s="600"/>
      <c r="C30" s="428"/>
      <c r="D30" s="427"/>
      <c r="E30" s="426">
        <v>2.1</v>
      </c>
      <c r="F30" s="425"/>
      <c r="G30" s="425"/>
      <c r="H30" s="425"/>
      <c r="I30" s="425"/>
      <c r="J30" s="425">
        <f>J24</f>
        <v>0.5</v>
      </c>
      <c r="K30" s="425"/>
      <c r="L30" s="425"/>
      <c r="M30" s="603"/>
    </row>
    <row r="31" spans="1:13" ht="25.5">
      <c r="A31" s="580">
        <v>3</v>
      </c>
      <c r="B31" s="577" t="s">
        <v>213</v>
      </c>
      <c r="C31" s="404" t="s">
        <v>212</v>
      </c>
      <c r="D31" s="403"/>
      <c r="E31" s="583" t="s">
        <v>201</v>
      </c>
      <c r="F31" s="584"/>
      <c r="G31" s="584"/>
      <c r="H31" s="584"/>
      <c r="I31" s="584"/>
      <c r="J31" s="584"/>
      <c r="K31" s="584"/>
      <c r="L31" s="584"/>
      <c r="M31" s="604">
        <f>ROUND(E32*J32*L32,2)</f>
        <v>14.04</v>
      </c>
    </row>
    <row r="32" spans="1:13" ht="114.75">
      <c r="A32" s="581"/>
      <c r="B32" s="578"/>
      <c r="C32" s="378" t="s">
        <v>211</v>
      </c>
      <c r="D32" s="388">
        <v>0.6</v>
      </c>
      <c r="E32" s="387">
        <v>11.7</v>
      </c>
      <c r="F32" s="373"/>
      <c r="G32" s="373"/>
      <c r="H32" s="373"/>
      <c r="I32" s="373"/>
      <c r="J32" s="373">
        <v>2</v>
      </c>
      <c r="K32" s="373" t="s">
        <v>11</v>
      </c>
      <c r="L32" s="373">
        <v>0.6</v>
      </c>
      <c r="M32" s="605"/>
    </row>
    <row r="33" spans="1:13" ht="12.75">
      <c r="A33" s="581"/>
      <c r="B33" s="578"/>
      <c r="C33" s="378"/>
      <c r="D33" s="388"/>
      <c r="E33" s="595" t="s">
        <v>200</v>
      </c>
      <c r="F33" s="596"/>
      <c r="G33" s="596"/>
      <c r="H33" s="596"/>
      <c r="I33" s="596"/>
      <c r="J33" s="596"/>
      <c r="K33" s="596"/>
      <c r="L33" s="596"/>
      <c r="M33" s="604">
        <f>ROUND(E34*J34*L34,2)</f>
        <v>4.5</v>
      </c>
    </row>
    <row r="34" spans="1:13" ht="12.75">
      <c r="A34" s="582"/>
      <c r="B34" s="579"/>
      <c r="C34" s="428"/>
      <c r="D34" s="427"/>
      <c r="E34" s="419">
        <v>7.5</v>
      </c>
      <c r="F34" s="430"/>
      <c r="G34" s="430"/>
      <c r="H34" s="430"/>
      <c r="I34" s="430"/>
      <c r="J34" s="430">
        <v>1</v>
      </c>
      <c r="K34" s="430" t="s">
        <v>11</v>
      </c>
      <c r="L34" s="430">
        <v>0.6</v>
      </c>
      <c r="M34" s="605"/>
    </row>
    <row r="35" spans="1:13" ht="25.5" customHeight="1">
      <c r="A35" s="406">
        <v>4</v>
      </c>
      <c r="B35" s="405" t="s">
        <v>210</v>
      </c>
      <c r="C35" s="404" t="s">
        <v>209</v>
      </c>
      <c r="D35" s="424"/>
      <c r="E35" s="583" t="s">
        <v>201</v>
      </c>
      <c r="F35" s="584"/>
      <c r="G35" s="584"/>
      <c r="H35" s="584"/>
      <c r="I35" s="584"/>
      <c r="J35" s="584"/>
      <c r="K35" s="584"/>
      <c r="L35" s="585"/>
      <c r="M35" s="423"/>
    </row>
    <row r="36" spans="1:13" ht="63.75">
      <c r="A36" s="417"/>
      <c r="B36" s="429" t="s">
        <v>208</v>
      </c>
      <c r="C36" s="428" t="s">
        <v>207</v>
      </c>
      <c r="D36" s="427">
        <v>0.9</v>
      </c>
      <c r="E36" s="419">
        <v>6.9</v>
      </c>
      <c r="F36" s="373"/>
      <c r="G36" s="373"/>
      <c r="H36" s="373"/>
      <c r="I36" s="373"/>
      <c r="J36" s="430">
        <v>1</v>
      </c>
      <c r="K36" s="373" t="s">
        <v>11</v>
      </c>
      <c r="L36" s="430">
        <v>0.9</v>
      </c>
      <c r="M36" s="376">
        <f>ROUND(E36*J36*L36,2)</f>
        <v>6.21</v>
      </c>
    </row>
    <row r="37" spans="1:13" ht="25.5" customHeight="1">
      <c r="A37" s="390">
        <v>5</v>
      </c>
      <c r="B37" s="405" t="s">
        <v>206</v>
      </c>
      <c r="C37" s="404"/>
      <c r="D37" s="424"/>
      <c r="E37" s="583" t="s">
        <v>201</v>
      </c>
      <c r="F37" s="584"/>
      <c r="G37" s="584"/>
      <c r="H37" s="584"/>
      <c r="I37" s="584"/>
      <c r="J37" s="584"/>
      <c r="K37" s="584"/>
      <c r="L37" s="585"/>
      <c r="M37" s="423"/>
    </row>
    <row r="38" spans="1:13" ht="12.75">
      <c r="A38" s="390"/>
      <c r="B38" s="389" t="s">
        <v>205</v>
      </c>
      <c r="C38" s="378" t="s">
        <v>204</v>
      </c>
      <c r="D38" s="377"/>
      <c r="E38" s="387">
        <v>37.7</v>
      </c>
      <c r="F38" s="373"/>
      <c r="G38" s="373"/>
      <c r="H38" s="373"/>
      <c r="I38" s="373"/>
      <c r="J38" s="373">
        <v>1</v>
      </c>
      <c r="K38" s="373"/>
      <c r="L38" s="373"/>
      <c r="M38" s="386">
        <f>ROUND(E38*J38,2)</f>
        <v>37.7</v>
      </c>
    </row>
    <row r="39" spans="1:13" ht="25.5" customHeight="1">
      <c r="A39" s="580">
        <v>6</v>
      </c>
      <c r="B39" s="577" t="s">
        <v>203</v>
      </c>
      <c r="C39" s="404" t="s">
        <v>202</v>
      </c>
      <c r="D39" s="403"/>
      <c r="E39" s="583" t="s">
        <v>201</v>
      </c>
      <c r="F39" s="584"/>
      <c r="G39" s="584"/>
      <c r="H39" s="584"/>
      <c r="I39" s="584"/>
      <c r="J39" s="584"/>
      <c r="K39" s="584"/>
      <c r="L39" s="585"/>
      <c r="M39" s="601">
        <f>ROUND(E40*J40,2)</f>
        <v>98.4</v>
      </c>
    </row>
    <row r="40" spans="1:13" ht="12.75">
      <c r="A40" s="581"/>
      <c r="B40" s="578"/>
      <c r="C40" s="378"/>
      <c r="D40" s="388"/>
      <c r="E40" s="387">
        <v>49.2</v>
      </c>
      <c r="F40" s="373"/>
      <c r="G40" s="373"/>
      <c r="H40" s="373"/>
      <c r="I40" s="373"/>
      <c r="J40" s="373">
        <f>D21/0.1</f>
        <v>2</v>
      </c>
      <c r="K40" s="373"/>
      <c r="L40" s="373"/>
      <c r="M40" s="603"/>
    </row>
    <row r="41" spans="1:13" ht="12.75" customHeight="1">
      <c r="A41" s="581"/>
      <c r="B41" s="578"/>
      <c r="C41" s="378"/>
      <c r="D41" s="388"/>
      <c r="E41" s="595" t="s">
        <v>200</v>
      </c>
      <c r="F41" s="596"/>
      <c r="G41" s="596"/>
      <c r="H41" s="596"/>
      <c r="I41" s="596"/>
      <c r="J41" s="596"/>
      <c r="K41" s="596"/>
      <c r="L41" s="602"/>
      <c r="M41" s="601">
        <f>ROUND(E42*J42,2)</f>
        <v>29.6</v>
      </c>
    </row>
    <row r="42" spans="1:13" ht="12.75">
      <c r="A42" s="582"/>
      <c r="B42" s="579"/>
      <c r="C42" s="428"/>
      <c r="D42" s="427"/>
      <c r="E42" s="426">
        <v>14.8</v>
      </c>
      <c r="F42" s="425"/>
      <c r="G42" s="425"/>
      <c r="H42" s="425"/>
      <c r="I42" s="425"/>
      <c r="J42" s="425">
        <f>J40</f>
        <v>2</v>
      </c>
      <c r="K42" s="425"/>
      <c r="L42" s="425"/>
      <c r="M42" s="603"/>
    </row>
    <row r="43" spans="1:13" ht="12.75">
      <c r="A43" s="387"/>
      <c r="B43" s="424"/>
      <c r="C43" s="606" t="s">
        <v>10</v>
      </c>
      <c r="D43" s="607"/>
      <c r="E43" s="607"/>
      <c r="F43" s="607"/>
      <c r="G43" s="607"/>
      <c r="H43" s="607"/>
      <c r="I43" s="607"/>
      <c r="J43" s="607"/>
      <c r="K43" s="607"/>
      <c r="L43" s="607"/>
      <c r="M43" s="413">
        <f>M45+M44</f>
        <v>204.67</v>
      </c>
    </row>
    <row r="44" spans="1:13" ht="12.75">
      <c r="A44" s="387"/>
      <c r="B44" s="412"/>
      <c r="C44" s="590" t="s">
        <v>199</v>
      </c>
      <c r="D44" s="591"/>
      <c r="E44" s="591"/>
      <c r="F44" s="591"/>
      <c r="G44" s="591"/>
      <c r="H44" s="591"/>
      <c r="I44" s="591"/>
      <c r="J44" s="591"/>
      <c r="K44" s="591"/>
      <c r="L44" s="591"/>
      <c r="M44" s="380">
        <f>M23+M27+M31+M39+M36+M38</f>
        <v>168.67</v>
      </c>
    </row>
    <row r="45" spans="1:13" ht="12.75">
      <c r="A45" s="387"/>
      <c r="B45" s="412"/>
      <c r="C45" s="592" t="s">
        <v>198</v>
      </c>
      <c r="D45" s="593"/>
      <c r="E45" s="593"/>
      <c r="F45" s="593"/>
      <c r="G45" s="593"/>
      <c r="H45" s="593"/>
      <c r="I45" s="593"/>
      <c r="J45" s="593"/>
      <c r="K45" s="593"/>
      <c r="L45" s="593"/>
      <c r="M45" s="423">
        <f>M25+M29+M33+M41</f>
        <v>36</v>
      </c>
    </row>
    <row r="46" spans="1:13" ht="12.75">
      <c r="A46" s="396"/>
      <c r="B46" s="422" t="s">
        <v>197</v>
      </c>
      <c r="C46" s="420"/>
      <c r="D46" s="421"/>
      <c r="E46" s="420"/>
      <c r="F46" s="408"/>
      <c r="G46" s="408"/>
      <c r="H46" s="408"/>
      <c r="I46" s="408"/>
      <c r="J46" s="408"/>
      <c r="K46" s="408"/>
      <c r="L46" s="408"/>
      <c r="M46" s="380"/>
    </row>
    <row r="47" spans="1:13" ht="63.75">
      <c r="A47" s="387">
        <v>7</v>
      </c>
      <c r="B47" s="405" t="s">
        <v>196</v>
      </c>
      <c r="C47" s="410" t="s">
        <v>195</v>
      </c>
      <c r="D47" s="411"/>
      <c r="E47" s="410">
        <v>52.3</v>
      </c>
      <c r="G47" s="409"/>
      <c r="H47" s="409"/>
      <c r="I47" s="409"/>
      <c r="J47" s="409">
        <f>B48</f>
        <v>1</v>
      </c>
      <c r="K47" s="409"/>
      <c r="L47" s="409"/>
      <c r="M47" s="376">
        <f>ROUND(E47*J47,2)</f>
        <v>52.3</v>
      </c>
    </row>
    <row r="48" spans="1:13" ht="12.75">
      <c r="A48" s="419"/>
      <c r="B48" s="418">
        <v>1</v>
      </c>
      <c r="C48" s="415"/>
      <c r="D48" s="416"/>
      <c r="E48" s="415"/>
      <c r="F48" s="414"/>
      <c r="G48" s="414"/>
      <c r="H48" s="414"/>
      <c r="I48" s="414"/>
      <c r="J48" s="414"/>
      <c r="K48" s="414"/>
      <c r="L48" s="414"/>
      <c r="M48" s="413"/>
    </row>
    <row r="49" spans="1:13" ht="51">
      <c r="A49" s="406">
        <v>8</v>
      </c>
      <c r="B49" s="412" t="s">
        <v>194</v>
      </c>
      <c r="C49" s="410" t="s">
        <v>193</v>
      </c>
      <c r="D49" s="411"/>
      <c r="E49" s="410">
        <v>13.3</v>
      </c>
      <c r="F49" s="409"/>
      <c r="G49" s="409"/>
      <c r="H49" s="409"/>
      <c r="I49" s="409"/>
      <c r="J49" s="409">
        <f>B50</f>
        <v>1</v>
      </c>
      <c r="K49" s="409"/>
      <c r="L49" s="409"/>
      <c r="M49" s="400">
        <f>ROUND(E49*J49,2)</f>
        <v>13.3</v>
      </c>
    </row>
    <row r="50" spans="1:13" ht="12.75">
      <c r="A50" s="417"/>
      <c r="B50" s="414">
        <v>1</v>
      </c>
      <c r="C50" s="415"/>
      <c r="D50" s="416"/>
      <c r="E50" s="415"/>
      <c r="F50" s="414"/>
      <c r="G50" s="414"/>
      <c r="H50" s="414"/>
      <c r="I50" s="414"/>
      <c r="J50" s="414"/>
      <c r="K50" s="414"/>
      <c r="L50" s="414"/>
      <c r="M50" s="413"/>
    </row>
    <row r="51" spans="1:13" ht="38.25">
      <c r="A51" s="390">
        <v>9</v>
      </c>
      <c r="B51" s="412" t="s">
        <v>192</v>
      </c>
      <c r="C51" s="410" t="s">
        <v>191</v>
      </c>
      <c r="D51" s="411"/>
      <c r="E51" s="137">
        <v>19.7</v>
      </c>
      <c r="F51" s="409"/>
      <c r="G51" s="409"/>
      <c r="H51" s="409"/>
      <c r="I51" s="409"/>
      <c r="J51" s="409">
        <f>B52</f>
        <v>1</v>
      </c>
      <c r="K51" s="409"/>
      <c r="L51" s="409"/>
      <c r="M51" s="400">
        <f>ROUND(E51*J51,2)</f>
        <v>19.7</v>
      </c>
    </row>
    <row r="52" spans="1:13" ht="12.75">
      <c r="A52" s="390"/>
      <c r="B52" s="409">
        <v>1</v>
      </c>
      <c r="C52" s="410"/>
      <c r="D52" s="411"/>
      <c r="E52" s="410"/>
      <c r="F52" s="409"/>
      <c r="G52" s="409"/>
      <c r="H52" s="409"/>
      <c r="I52" s="409"/>
      <c r="J52" s="409"/>
      <c r="K52" s="409"/>
      <c r="L52" s="409"/>
      <c r="M52" s="386"/>
    </row>
    <row r="53" spans="1:13" ht="12.75" customHeight="1">
      <c r="A53" s="385"/>
      <c r="B53" s="381"/>
      <c r="C53" s="408"/>
      <c r="D53" s="408"/>
      <c r="E53" s="408"/>
      <c r="F53" s="588" t="s">
        <v>190</v>
      </c>
      <c r="G53" s="588"/>
      <c r="H53" s="588"/>
      <c r="I53" s="588"/>
      <c r="J53" s="588"/>
      <c r="K53" s="588"/>
      <c r="L53" s="589"/>
      <c r="M53" s="380">
        <f>M47+M49+M51</f>
        <v>85.3</v>
      </c>
    </row>
    <row r="54" spans="1:13" ht="16.5" customHeight="1">
      <c r="A54" s="30"/>
      <c r="B54" s="29"/>
      <c r="C54" s="29"/>
      <c r="D54" s="29"/>
      <c r="E54" s="29"/>
      <c r="F54" s="29"/>
      <c r="G54" s="29"/>
      <c r="H54" s="29"/>
      <c r="I54" s="29"/>
      <c r="J54" s="608" t="s">
        <v>10</v>
      </c>
      <c r="K54" s="608"/>
      <c r="L54" s="608"/>
      <c r="M54" s="407">
        <f>M53+M43</f>
        <v>289.97</v>
      </c>
    </row>
    <row r="55" spans="1:13" ht="41.25" customHeight="1">
      <c r="A55" s="406">
        <v>10</v>
      </c>
      <c r="B55" s="405" t="s">
        <v>189</v>
      </c>
      <c r="C55" s="404" t="s">
        <v>188</v>
      </c>
      <c r="D55" s="403">
        <v>18</v>
      </c>
      <c r="E55" s="402">
        <f>M45</f>
        <v>36</v>
      </c>
      <c r="F55" s="401"/>
      <c r="G55" s="401"/>
      <c r="H55" s="401"/>
      <c r="I55" s="401" t="s">
        <v>11</v>
      </c>
      <c r="J55" s="401">
        <v>0.18</v>
      </c>
      <c r="K55" s="401"/>
      <c r="L55" s="401"/>
      <c r="M55" s="400">
        <f>ROUND(E55*J55,2)</f>
        <v>6.48</v>
      </c>
    </row>
    <row r="56" spans="1:13" ht="15" customHeight="1">
      <c r="A56" s="385">
        <v>11</v>
      </c>
      <c r="B56" s="399" t="s">
        <v>187</v>
      </c>
      <c r="C56" s="398" t="s">
        <v>186</v>
      </c>
      <c r="D56" s="397">
        <v>0.0875</v>
      </c>
      <c r="E56" s="396">
        <f>M44</f>
        <v>168.67</v>
      </c>
      <c r="F56" s="375"/>
      <c r="G56" s="375"/>
      <c r="H56" s="375"/>
      <c r="I56" s="375" t="s">
        <v>11</v>
      </c>
      <c r="J56" s="588">
        <v>0.0875</v>
      </c>
      <c r="K56" s="588"/>
      <c r="L56" s="375"/>
      <c r="M56" s="395">
        <f>ROUND(E56*J56,2)</f>
        <v>14.76</v>
      </c>
    </row>
    <row r="57" spans="1:13" ht="12.75">
      <c r="A57" s="581">
        <v>12</v>
      </c>
      <c r="B57" s="578" t="s">
        <v>185</v>
      </c>
      <c r="C57" s="378" t="s">
        <v>184</v>
      </c>
      <c r="D57" s="394">
        <v>0.06</v>
      </c>
      <c r="E57" s="393" t="s">
        <v>23</v>
      </c>
      <c r="F57" s="392">
        <f>M44</f>
        <v>168.67</v>
      </c>
      <c r="G57" s="391" t="s">
        <v>24</v>
      </c>
      <c r="H57" s="114">
        <f>M56</f>
        <v>14.76</v>
      </c>
      <c r="I57" s="391" t="s">
        <v>25</v>
      </c>
      <c r="J57" s="391">
        <v>0.06</v>
      </c>
      <c r="K57" s="391" t="s">
        <v>11</v>
      </c>
      <c r="L57" s="391">
        <f>D58</f>
        <v>2.5</v>
      </c>
      <c r="M57" s="386">
        <f>ROUND((F57+H57)*J57*L57,2)</f>
        <v>27.51</v>
      </c>
    </row>
    <row r="58" spans="1:13" ht="90" customHeight="1">
      <c r="A58" s="581"/>
      <c r="B58" s="578"/>
      <c r="C58" s="378" t="s">
        <v>183</v>
      </c>
      <c r="D58" s="388">
        <v>2.5</v>
      </c>
      <c r="E58" s="387"/>
      <c r="F58" s="373"/>
      <c r="G58" s="373"/>
      <c r="H58" s="373"/>
      <c r="I58" s="373"/>
      <c r="J58" s="373"/>
      <c r="K58" s="373"/>
      <c r="L58" s="373"/>
      <c r="M58" s="386"/>
    </row>
    <row r="59" spans="1:13" ht="13.5" customHeight="1">
      <c r="A59" s="385"/>
      <c r="B59" s="384"/>
      <c r="C59" s="383"/>
      <c r="D59" s="382"/>
      <c r="E59" s="375"/>
      <c r="F59" s="375"/>
      <c r="G59" s="375"/>
      <c r="H59" s="375"/>
      <c r="I59" s="375"/>
      <c r="J59" s="617" t="s">
        <v>10</v>
      </c>
      <c r="K59" s="617"/>
      <c r="L59" s="617"/>
      <c r="M59" s="380">
        <f>M54+M55+M56+M57</f>
        <v>338.72</v>
      </c>
    </row>
    <row r="60" spans="1:13" ht="63.75">
      <c r="A60" s="379">
        <v>13</v>
      </c>
      <c r="B60" s="377" t="s">
        <v>182</v>
      </c>
      <c r="C60" s="378" t="s">
        <v>226</v>
      </c>
      <c r="D60" s="377">
        <v>44.21</v>
      </c>
      <c r="E60" s="139">
        <f>M59</f>
        <v>338.72</v>
      </c>
      <c r="F60" s="373"/>
      <c r="G60" s="373" t="s">
        <v>11</v>
      </c>
      <c r="H60" s="373">
        <f>1</f>
        <v>1</v>
      </c>
      <c r="I60" s="373" t="s">
        <v>11</v>
      </c>
      <c r="J60" s="596">
        <f>44.21</f>
        <v>44.21</v>
      </c>
      <c r="K60" s="596"/>
      <c r="L60" s="373"/>
      <c r="M60" s="376">
        <f>ROUND(E60*H60*J60,2)</f>
        <v>14974.81</v>
      </c>
    </row>
    <row r="61" spans="1:13" ht="12.75">
      <c r="A61" s="611" t="s">
        <v>181</v>
      </c>
      <c r="B61" s="612"/>
      <c r="C61" s="612"/>
      <c r="D61" s="612"/>
      <c r="E61" s="612"/>
      <c r="F61" s="375"/>
      <c r="G61" s="375"/>
      <c r="H61" s="375"/>
      <c r="I61" s="375"/>
      <c r="J61" s="375"/>
      <c r="K61" s="375"/>
      <c r="L61" s="375"/>
      <c r="M61" s="374">
        <f>M60</f>
        <v>14974.81</v>
      </c>
    </row>
    <row r="62" spans="1:13" ht="12.75">
      <c r="A62" s="613" t="s">
        <v>180</v>
      </c>
      <c r="B62" s="614"/>
      <c r="C62" s="614"/>
      <c r="D62" s="615">
        <v>1</v>
      </c>
      <c r="E62" s="615"/>
      <c r="F62" s="373"/>
      <c r="G62" s="373"/>
      <c r="H62" s="373"/>
      <c r="I62" s="373"/>
      <c r="J62" s="373"/>
      <c r="K62" s="373"/>
      <c r="L62" s="373"/>
      <c r="M62" s="141">
        <f>M61*D62</f>
        <v>14974.81</v>
      </c>
    </row>
    <row r="63" spans="1:13" ht="12.75">
      <c r="A63" s="372"/>
      <c r="B63" s="169"/>
      <c r="C63" s="169"/>
      <c r="D63" s="371"/>
      <c r="E63" s="609" t="s">
        <v>246</v>
      </c>
      <c r="F63" s="610"/>
      <c r="G63" s="610"/>
      <c r="H63" s="610"/>
      <c r="I63" s="610"/>
      <c r="J63" s="610"/>
      <c r="K63" s="610"/>
      <c r="L63" s="610"/>
      <c r="M63" s="42">
        <f>M62*0.2</f>
        <v>2994.96</v>
      </c>
    </row>
    <row r="64" spans="1:13" ht="14.25" customHeight="1">
      <c r="A64" s="370"/>
      <c r="B64" s="587" t="s">
        <v>247</v>
      </c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42">
        <f>M62+M63</f>
        <v>17969.77</v>
      </c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13" ht="15" customHeight="1">
      <c r="B68" s="166" t="s">
        <v>93</v>
      </c>
      <c r="C68" s="167"/>
      <c r="D68" s="167"/>
      <c r="E68" s="15"/>
      <c r="F68" s="15"/>
      <c r="G68" s="15"/>
      <c r="H68" s="15"/>
      <c r="I68" s="15"/>
      <c r="J68" s="618"/>
      <c r="K68" s="618"/>
      <c r="L68" s="618"/>
      <c r="M68" s="618"/>
    </row>
    <row r="69" spans="2:4" ht="12.75">
      <c r="B69" s="167"/>
      <c r="C69" s="167"/>
      <c r="D69" s="167"/>
    </row>
    <row r="70" spans="2:4" ht="12.75">
      <c r="B70" s="167"/>
      <c r="C70" s="167"/>
      <c r="D70" s="167"/>
    </row>
    <row r="71" spans="2:4" ht="12.75">
      <c r="B71" s="168"/>
      <c r="C71" s="167"/>
      <c r="D71" s="167"/>
    </row>
    <row r="72" spans="2:4" ht="12.75">
      <c r="B72" s="3"/>
      <c r="C72" s="3"/>
      <c r="D72" s="3"/>
    </row>
  </sheetData>
  <sheetProtection/>
  <mergeCells count="59">
    <mergeCell ref="J68:M68"/>
    <mergeCell ref="E16:L16"/>
    <mergeCell ref="J21:L21"/>
    <mergeCell ref="A9:M9"/>
    <mergeCell ref="C15:D15"/>
    <mergeCell ref="E15:L15"/>
    <mergeCell ref="C16:D16"/>
    <mergeCell ref="M29:M30"/>
    <mergeCell ref="B17:M17"/>
    <mergeCell ref="A22:M22"/>
    <mergeCell ref="E63:L63"/>
    <mergeCell ref="A61:E61"/>
    <mergeCell ref="A62:C62"/>
    <mergeCell ref="D62:E62"/>
    <mergeCell ref="A23:A26"/>
    <mergeCell ref="B23:B26"/>
    <mergeCell ref="E23:L23"/>
    <mergeCell ref="E25:L25"/>
    <mergeCell ref="J59:L59"/>
    <mergeCell ref="A27:A30"/>
    <mergeCell ref="E41:L41"/>
    <mergeCell ref="M41:M42"/>
    <mergeCell ref="M31:M32"/>
    <mergeCell ref="M33:M34"/>
    <mergeCell ref="J60:K60"/>
    <mergeCell ref="C43:L43"/>
    <mergeCell ref="J54:L54"/>
    <mergeCell ref="M39:M40"/>
    <mergeCell ref="E39:L39"/>
    <mergeCell ref="A8:M8"/>
    <mergeCell ref="E33:L33"/>
    <mergeCell ref="E27:L27"/>
    <mergeCell ref="A12:M12"/>
    <mergeCell ref="A13:M13"/>
    <mergeCell ref="E29:L29"/>
    <mergeCell ref="M23:M24"/>
    <mergeCell ref="M25:M26"/>
    <mergeCell ref="B27:B30"/>
    <mergeCell ref="M27:M28"/>
    <mergeCell ref="B64:L64"/>
    <mergeCell ref="J56:K56"/>
    <mergeCell ref="A57:A58"/>
    <mergeCell ref="F53:L53"/>
    <mergeCell ref="A31:A34"/>
    <mergeCell ref="C44:L44"/>
    <mergeCell ref="C45:L45"/>
    <mergeCell ref="B57:B58"/>
    <mergeCell ref="B31:B34"/>
    <mergeCell ref="E31:L31"/>
    <mergeCell ref="B39:B42"/>
    <mergeCell ref="A39:A42"/>
    <mergeCell ref="E37:L37"/>
    <mergeCell ref="E35:L35"/>
    <mergeCell ref="H2:M2"/>
    <mergeCell ref="H3:M3"/>
    <mergeCell ref="H4:M4"/>
    <mergeCell ref="H5:M5"/>
    <mergeCell ref="H6:M6"/>
    <mergeCell ref="A11:M11"/>
  </mergeCells>
  <printOptions/>
  <pageMargins left="0.5118110236220472" right="0.31" top="0.35433070866141736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selection activeCell="A9" sqref="A9:C9"/>
    </sheetView>
  </sheetViews>
  <sheetFormatPr defaultColWidth="9.00390625" defaultRowHeight="12.75"/>
  <cols>
    <col min="1" max="1" width="10.375" style="3" customWidth="1"/>
    <col min="2" max="2" width="11.75390625" style="3" customWidth="1"/>
    <col min="3" max="3" width="70.25390625" style="3" customWidth="1"/>
    <col min="4" max="16384" width="9.125" style="3" customWidth="1"/>
  </cols>
  <sheetData>
    <row r="1" spans="3:4" ht="17.25" customHeight="1">
      <c r="C1" s="76" t="s">
        <v>97</v>
      </c>
      <c r="D1" s="76"/>
    </row>
    <row r="2" spans="3:4" ht="13.5" customHeight="1">
      <c r="C2" s="31" t="s">
        <v>263</v>
      </c>
      <c r="D2" s="31"/>
    </row>
    <row r="3" spans="3:4" ht="15" customHeight="1">
      <c r="C3" s="31" t="s">
        <v>250</v>
      </c>
      <c r="D3" s="31"/>
    </row>
    <row r="4" spans="3:4" ht="21.75" customHeight="1">
      <c r="C4" s="31" t="s">
        <v>264</v>
      </c>
      <c r="D4" s="31"/>
    </row>
    <row r="5" spans="3:4" ht="19.5" customHeight="1">
      <c r="C5" s="31" t="s">
        <v>251</v>
      </c>
      <c r="D5" s="31"/>
    </row>
    <row r="6" spans="5:6" ht="12.75">
      <c r="E6" s="459"/>
      <c r="F6" s="459"/>
    </row>
    <row r="7" spans="1:3" ht="12.75">
      <c r="A7" s="630" t="s">
        <v>98</v>
      </c>
      <c r="B7" s="630"/>
      <c r="C7" s="630"/>
    </row>
    <row r="8" spans="1:3" ht="12.75">
      <c r="A8" s="78"/>
      <c r="B8" s="78"/>
      <c r="C8" s="78"/>
    </row>
    <row r="9" spans="1:10" ht="15.75" customHeight="1">
      <c r="A9" s="458" t="s">
        <v>265</v>
      </c>
      <c r="B9" s="458"/>
      <c r="C9" s="458"/>
      <c r="D9" s="75"/>
      <c r="E9" s="75"/>
      <c r="F9" s="75"/>
      <c r="G9" s="17"/>
      <c r="H9" s="16"/>
      <c r="I9" s="17"/>
      <c r="J9" s="16"/>
    </row>
    <row r="10" spans="1:10" ht="13.5" customHeight="1">
      <c r="A10" s="458" t="s">
        <v>92</v>
      </c>
      <c r="B10" s="458"/>
      <c r="C10" s="458"/>
      <c r="D10" s="75"/>
      <c r="E10" s="75"/>
      <c r="F10" s="75"/>
      <c r="G10" s="17"/>
      <c r="H10" s="16"/>
      <c r="I10" s="17"/>
      <c r="J10" s="16"/>
    </row>
    <row r="11" spans="1:10" ht="13.5" customHeight="1">
      <c r="A11" s="458" t="s">
        <v>237</v>
      </c>
      <c r="B11" s="458"/>
      <c r="C11" s="458"/>
      <c r="D11" s="75"/>
      <c r="E11" s="75"/>
      <c r="F11" s="75"/>
      <c r="G11" s="17"/>
      <c r="H11" s="16"/>
      <c r="I11" s="17"/>
      <c r="J11" s="16"/>
    </row>
    <row r="12" spans="1:3" ht="12.75">
      <c r="A12" s="78"/>
      <c r="B12" s="78"/>
      <c r="C12" s="78"/>
    </row>
    <row r="13" spans="1:3" ht="25.5">
      <c r="A13" s="46" t="s">
        <v>59</v>
      </c>
      <c r="B13" s="58">
        <f>'См№1 ПР'!V41/1.18</f>
        <v>1200870.51</v>
      </c>
      <c r="C13" s="47" t="s">
        <v>60</v>
      </c>
    </row>
    <row r="14" spans="1:3" ht="12.75">
      <c r="A14" s="46"/>
      <c r="B14" s="59" t="s">
        <v>249</v>
      </c>
      <c r="C14" s="47" t="s">
        <v>61</v>
      </c>
    </row>
    <row r="15" spans="1:3" ht="12.75">
      <c r="A15" s="46" t="s">
        <v>62</v>
      </c>
      <c r="B15" s="60">
        <v>3.83</v>
      </c>
      <c r="C15" s="48" t="s">
        <v>63</v>
      </c>
    </row>
    <row r="16" spans="1:3" ht="25.5">
      <c r="A16" s="46" t="s">
        <v>64</v>
      </c>
      <c r="B16" s="58">
        <f>B13/B15</f>
        <v>313543.21</v>
      </c>
      <c r="C16" s="47" t="s">
        <v>65</v>
      </c>
    </row>
    <row r="17" spans="1:3" ht="12.75">
      <c r="A17" s="46" t="s">
        <v>66</v>
      </c>
      <c r="B17" s="58">
        <f>'См№ Геодез'!N38+'См№ Геолог'!N53+'См№ Экология'!M62</f>
        <v>308708.66</v>
      </c>
      <c r="C17" s="47" t="s">
        <v>67</v>
      </c>
    </row>
    <row r="18" spans="1:3" ht="12.75">
      <c r="A18" s="46"/>
      <c r="B18" s="59" t="s">
        <v>249</v>
      </c>
      <c r="C18" s="47" t="s">
        <v>68</v>
      </c>
    </row>
    <row r="19" spans="1:3" ht="12.75">
      <c r="A19" s="46" t="s">
        <v>62</v>
      </c>
      <c r="B19" s="60">
        <v>3.91</v>
      </c>
      <c r="C19" s="48" t="s">
        <v>69</v>
      </c>
    </row>
    <row r="20" spans="1:3" ht="25.5">
      <c r="A20" s="46" t="s">
        <v>70</v>
      </c>
      <c r="B20" s="58">
        <f>B17/B19</f>
        <v>78953.62</v>
      </c>
      <c r="C20" s="47" t="s">
        <v>71</v>
      </c>
    </row>
    <row r="21" spans="1:3" ht="25.5">
      <c r="A21" s="170" t="s">
        <v>72</v>
      </c>
      <c r="B21" s="71">
        <v>3.73</v>
      </c>
      <c r="C21" s="49" t="s">
        <v>73</v>
      </c>
    </row>
    <row r="22" spans="1:3" ht="25.5">
      <c r="A22" s="170" t="s">
        <v>72</v>
      </c>
      <c r="B22" s="71">
        <v>3.73</v>
      </c>
      <c r="C22" s="50" t="s">
        <v>74</v>
      </c>
    </row>
    <row r="23" spans="1:3" ht="12.75">
      <c r="A23" s="170"/>
      <c r="B23" s="58">
        <f>(B16+B20)/1000000</f>
        <v>0.39</v>
      </c>
      <c r="C23" s="47" t="s">
        <v>75</v>
      </c>
    </row>
    <row r="24" spans="1:3" ht="38.25">
      <c r="A24" s="46" t="s">
        <v>76</v>
      </c>
      <c r="B24" s="72">
        <v>0.273</v>
      </c>
      <c r="C24" s="47" t="s">
        <v>77</v>
      </c>
    </row>
    <row r="25" spans="1:3" ht="12.75">
      <c r="A25" s="46" t="s">
        <v>15</v>
      </c>
      <c r="B25" s="60">
        <v>20</v>
      </c>
      <c r="C25" s="47" t="s">
        <v>78</v>
      </c>
    </row>
    <row r="26" spans="1:3" ht="25.5">
      <c r="A26" s="46" t="s">
        <v>79</v>
      </c>
      <c r="B26" s="60">
        <v>1</v>
      </c>
      <c r="C26" s="47" t="s">
        <v>80</v>
      </c>
    </row>
    <row r="27" spans="1:3" ht="12.75">
      <c r="A27" s="51" t="s">
        <v>26</v>
      </c>
      <c r="B27" s="60">
        <v>1</v>
      </c>
      <c r="C27" s="48" t="s">
        <v>81</v>
      </c>
    </row>
    <row r="28" spans="1:3" ht="13.5">
      <c r="A28" s="52" t="s">
        <v>82</v>
      </c>
      <c r="B28" s="61">
        <f>401860.22</f>
        <v>401860.22</v>
      </c>
      <c r="C28" s="47" t="s">
        <v>83</v>
      </c>
    </row>
    <row r="29" spans="1:3" ht="12.75">
      <c r="A29" s="53" t="s">
        <v>15</v>
      </c>
      <c r="B29" s="62">
        <f>B28*B25/100-0.01</f>
        <v>80372.03</v>
      </c>
      <c r="C29" s="47" t="s">
        <v>84</v>
      </c>
    </row>
    <row r="30" spans="1:3" ht="12.75">
      <c r="A30" s="54" t="s">
        <v>58</v>
      </c>
      <c r="B30" s="63">
        <f>B28+B29</f>
        <v>482232.25</v>
      </c>
      <c r="C30" s="55" t="s">
        <v>85</v>
      </c>
    </row>
    <row r="31" spans="1:3" ht="12.75">
      <c r="A31" s="56"/>
      <c r="B31" s="57"/>
      <c r="C31" s="56"/>
    </row>
    <row r="32" spans="1:3" ht="12.75">
      <c r="A32" s="56" t="s">
        <v>86</v>
      </c>
      <c r="B32" s="57"/>
      <c r="C32" s="56"/>
    </row>
    <row r="33" spans="1:3" ht="12.75">
      <c r="A33" s="56"/>
      <c r="B33" s="57"/>
      <c r="C33" s="56"/>
    </row>
    <row r="34" spans="1:3" ht="12.75">
      <c r="A34" s="26"/>
      <c r="B34" s="26"/>
      <c r="C34" s="26"/>
    </row>
    <row r="35" spans="1:3" ht="12.75">
      <c r="A35" s="631"/>
      <c r="B35" s="631"/>
      <c r="C35" s="43"/>
    </row>
    <row r="36" spans="1:3" ht="12.75">
      <c r="A36" s="44"/>
      <c r="B36" s="44" t="s">
        <v>254</v>
      </c>
      <c r="C36" s="45" t="s">
        <v>255</v>
      </c>
    </row>
    <row r="37" spans="1:3" ht="12.75">
      <c r="A37" s="629"/>
      <c r="B37" s="629"/>
      <c r="C37" s="43"/>
    </row>
    <row r="38" spans="1:3" ht="12.75">
      <c r="A38" s="15"/>
      <c r="B38" s="15"/>
      <c r="C38" s="43"/>
    </row>
    <row r="39" spans="1:3" ht="12.75">
      <c r="A39" s="629"/>
      <c r="B39" s="629"/>
      <c r="C39" s="43"/>
    </row>
  </sheetData>
  <sheetProtection/>
  <mergeCells count="8">
    <mergeCell ref="A37:B37"/>
    <mergeCell ref="A39:B39"/>
    <mergeCell ref="E6:F6"/>
    <mergeCell ref="A7:C7"/>
    <mergeCell ref="A9:C9"/>
    <mergeCell ref="A10:C10"/>
    <mergeCell ref="A11:C11"/>
    <mergeCell ref="A35:B3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Огарева Ольга Федоровна</cp:lastModifiedBy>
  <cp:lastPrinted>2019-02-04T14:15:08Z</cp:lastPrinted>
  <dcterms:created xsi:type="dcterms:W3CDTF">2005-04-12T07:03:24Z</dcterms:created>
  <dcterms:modified xsi:type="dcterms:W3CDTF">2019-02-04T14:33:57Z</dcterms:modified>
  <cp:category/>
  <cp:version/>
  <cp:contentType/>
  <cp:contentStatus/>
</cp:coreProperties>
</file>